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8.xml"/>
  <Override ContentType="application/vnd.openxmlformats-officedocument.spreadsheetml.comments+xml" PartName="/xl/comments7.xml"/>
  <Override ContentType="application/vnd.openxmlformats-officedocument.spreadsheetml.comments+xml" PartName="/xl/comments9.xml"/>
  <Override ContentType="application/vnd.openxmlformats-officedocument.spreadsheetml.comments+xml" PartName="/xl/comments11.xml"/>
  <Override ContentType="application/vnd.openxmlformats-officedocument.spreadsheetml.comments+xml" PartName="/xl/comments10.xml"/>
  <Override ContentType="application/vnd.openxmlformats-officedocument.spreadsheetml.comments+xml" PartName="/xl/comments12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20141516 Cons" sheetId="1" r:id="rId3"/>
    <sheet state="hidden" name="201415 Cast &amp; Crew Guests" sheetId="2" r:id="rId4"/>
    <sheet state="visible" name="MLP Charity Data (Rough)" sheetId="3" r:id="rId5"/>
    <sheet state="hidden" name="201415 Con Ticket Prices" sheetId="4" r:id="rId6"/>
    <sheet state="hidden" name="2013 Cons" sheetId="5" r:id="rId7"/>
    <sheet state="hidden" name="201314 Show Guests (Version 1)" sheetId="6" r:id="rId8"/>
    <sheet state="hidden" name="2013 Cast &amp; Crew Guests" sheetId="7" r:id="rId9"/>
    <sheet state="hidden" name="201314 Community Guests  Musici" sheetId="8" r:id="rId10"/>
    <sheet state="hidden" name="2013 Musiquestria Gigs" sheetId="9" r:id="rId11"/>
    <sheet state="hidden" name="201314 Community Guests" sheetId="10" r:id="rId12"/>
    <sheet state="hidden" name="201211 Cons" sheetId="11" r:id="rId13"/>
    <sheet state="hidden" name="Cancelled Cons" sheetId="12" r:id="rId14"/>
    <sheet state="hidden" name="Additional Resources" sheetId="13" r:id="rId15"/>
  </sheets>
  <definedNames>
    <definedName name="Data">'MLP Charity Data (Rough)'!$A$3:$D$219</definedName>
    <definedName name="TitlePart2">#REF!</definedName>
    <definedName name="Currency">#REF!</definedName>
    <definedName name="TitlePart1">#REF!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Attendee counts are reported by the conventions, and in many cases are estimates (and are noted as such).</t>
      </text>
    </comment>
    <comment authorId="0" ref="G2">
      <text>
        <t xml:space="preserve">This links to a convention's stated rules and policies for attendee conduct, where available and clearly stated.</t>
      </text>
    </comment>
    <comment authorId="0" ref="J2">
      <text>
        <t xml:space="preserve">Link goes to a curated and subscribable list of these Twitter accounts.</t>
      </text>
    </comment>
    <comment authorId="0" ref="A4">
      <text>
        <t xml:space="preserve">Mini-con within G2Anime convention.</t>
      </text>
    </comment>
    <comment authorId="0" ref="G4">
      <text>
        <t xml:space="preserve">TROTtawa participants were expected to abide by GAnime rules.</t>
      </text>
    </comment>
    <comment authorId="0" ref="I5">
      <text>
        <t xml:space="preserve">2,353 AU$ (AUD)</t>
      </text>
    </comment>
    <comment authorId="0" ref="A6">
      <text>
        <t xml:space="preserve">Formerly "Brony-Fest 2014", but now covering more than just FiM. Kept here based on precedent of DrawnCon.</t>
      </text>
    </comment>
    <comment authorId="0" ref="F7">
      <text>
        <t xml:space="preserve">Approximate.</t>
      </text>
    </comment>
    <comment authorId="0" ref="H7">
      <text>
        <t xml:space="preserve">BABSCon raised money for several charities through several avenues; the breakdown is as follows:
$9331 split evenly between SPCA and SF Suicide Prevention
(charity auction)
$4314 Wounded Warriors
$2167 College View School
(hoofwrestling event)
$4400 RAINN
(/mlp)</t>
      </text>
    </comment>
    <comment authorId="0" ref="I7">
      <text>
        <t xml:space="preserve">tv3XZlboog9R35MqE6h8TEA</t>
      </text>
    </comment>
    <comment authorId="0" ref="K8">
      <text>
        <t xml:space="preserve">Link goes to the con's presence on a Russian social networking site similar to Facebook.</t>
      </text>
    </comment>
    <comment authorId="0" ref="I9">
      <text>
        <t xml:space="preserve">¥49000 (JPY)</t>
      </text>
    </comment>
    <comment authorId="0" ref="F10">
      <text>
        <t xml:space="preserve">Approximate.</t>
      </text>
    </comment>
    <comment authorId="0" ref="I10">
      <text>
        <t xml:space="preserve">$3153.50 (USD)</t>
      </text>
    </comment>
    <comment authorId="0" ref="I11">
      <text>
        <t xml:space="preserve">$0 (USD)</t>
      </text>
    </comment>
    <comment authorId="0" ref="F12">
      <text>
        <t xml:space="preserve">Approximate low-end.</t>
      </text>
    </comment>
    <comment authorId="0" ref="F14">
      <text>
        <t xml:space="preserve">Approximate.</t>
      </text>
    </comment>
    <comment authorId="0" ref="H14">
      <text>
        <t xml:space="preserve">Charity auction administrated by Bronies for Good.</t>
      </text>
    </comment>
    <comment authorId="0" ref="I14">
      <text>
        <t xml:space="preserve">$4400 (USD)</t>
      </text>
    </comment>
    <comment authorId="0" ref="D15">
      <text>
        <t xml:space="preserve">Initially scheduled as June 21st-22nd, 2014.</t>
      </text>
    </comment>
    <comment authorId="0" ref="I15">
      <text>
        <t xml:space="preserve">$0 (SGD)</t>
      </text>
    </comment>
    <comment authorId="0" ref="I16">
      <text>
        <t xml:space="preserve">2,480€ (EUR)</t>
      </text>
    </comment>
    <comment authorId="0" ref="I17">
      <text>
        <t xml:space="preserve">Source: https://twitter.com/EverfreeNW/status/489184226588110850</t>
      </text>
    </comment>
    <comment authorId="0" ref="F19">
      <text>
        <t xml:space="preserve">Approximate.</t>
      </text>
    </comment>
    <comment authorId="0" ref="F20">
      <text>
        <t xml:space="preserve">Approximate.</t>
      </text>
    </comment>
    <comment authorId="0" ref="F21">
      <text>
        <t xml:space="preserve">Announced at closing ceremonies.</t>
      </text>
    </comment>
    <comment authorId="0" ref="I21">
      <text>
        <t xml:space="preserve">Not yet announced.</t>
      </text>
    </comment>
    <comment authorId="0" ref="K22">
      <text>
        <t xml:space="preserve">Link goes to the con's presence on a Russian social networking site similar to Facebook.</t>
      </text>
    </comment>
    <comment authorId="0" ref="F23">
      <text>
        <t xml:space="preserve">An approximate number, not yet confirmed in official announcement from the con.</t>
      </text>
    </comment>
    <comment authorId="0" ref="I23">
      <text>
        <t xml:space="preserve">Approximately 8810€ (EUR)</t>
      </text>
    </comment>
    <comment authorId="0" ref="D25">
      <text>
        <t xml:space="preserve">Initially reported as April 4th-5th, 2014.
Then reported as June 6th-7th, 2014.</t>
      </text>
    </comment>
    <comment authorId="0" ref="A27">
      <text>
        <t xml:space="preserve">Presumed cancelled as of August 5th, 2014 after a lack of updates and news for several months prior.</t>
      </text>
    </comment>
    <comment authorId="0" ref="B27">
      <text>
        <t xml:space="preserve">Site not yet live as of 16 July 2014.
</t>
      </text>
    </comment>
    <comment authorId="0" ref="I28">
      <text>
        <t xml:space="preserve">tv3XZlboog9R35MqE6h8TEA</t>
      </text>
    </comment>
    <comment authorId="0" ref="D29">
      <text>
        <t xml:space="preserve">The main convention runs from August 23rd-24th; the Summer Sun Celebration music festival will be held on the evening of the 22nd.</t>
      </text>
    </comment>
    <comment authorId="0" ref="J31">
      <text>
        <t xml:space="preserve">Formerly "@BFF_Fan"; officially changed July 31st, 2014.</t>
      </text>
    </comment>
    <comment authorId="0" ref="D32">
      <text>
        <t xml:space="preserve">Initially announced as August 16th-17th, 2014.</t>
      </text>
    </comment>
    <comment authorId="0" ref="A41">
      <text>
        <t xml:space="preserve">Though not specifically an MLP convention, in the judgement of this list curator there's enough content and crossover in staff to warrant the con's inclusion here.</t>
      </text>
    </comment>
    <comment authorId="0" ref="A43">
      <text>
        <t xml:space="preserve">DerpyCon derives its name and some art assets from the MLP fandom, but bills itself as being multi-genre; since programming will likely include a substantial amount of FiM material, it is included here. (See DrawnCon for precedent.)</t>
      </text>
    </comment>
    <comment authorId="0" ref="A56">
      <text>
        <t xml:space="preserve">Dates annnounced during closing ceremonies of BronyCon 2014.
Confirmed by con chair Josh dean on 10 Jan 2014:
https://twitter.com/imjoshdean/status/421767534820720640
https://twitter.com/imjoshdean/status/421769870322462720</t>
      </text>
    </comment>
    <comment authorId="0" ref="A63">
      <text>
        <t xml:space="preserve">Formerly BigApplePonycon.</t>
      </text>
    </comment>
    <comment authorId="0" ref="A68">
      <text>
        <t xml:space="preserve">Confirmed by con chair Josh dean on 10 Jan 2014:
https://twitter.com/imjoshdean/status/421767534820720640
https://twitter.com/imjoshdean/status/421769870322462720</t>
      </text>
    </comment>
    <comment authorId="0" ref="A74">
      <text>
        <t xml:space="preserve">This was just Mitch being silly on Twitter, but it's worth including for the hay of it.</t>
      </text>
    </comment>
    <comment authorId="0" ref="A75">
      <text>
        <t xml:space="preserve">Formerly "Rocky Mountain Ponycon". Possibly merged with Snowhoof, another proposed Colorado con (see below).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Senior storyboard artist.</t>
      </text>
    </comment>
    <comment authorId="0" ref="C1">
      <text>
        <t xml:space="preserve">Comic writer</t>
      </text>
    </comment>
    <comment authorId="0" ref="D1">
      <text>
        <t xml:space="preserve">Songs orchestrator and composer</t>
      </text>
    </comment>
    <comment authorId="0" ref="E1">
      <text>
        <t xml:space="preserve">VA: Applejack, Rainbow Dash.</t>
      </text>
    </comment>
    <comment authorId="0" ref="F1">
      <text>
        <t xml:space="preserve">VA: Trixie, Queen Chrysalis.</t>
      </text>
    </comment>
    <comment authorId="0" ref="G1">
      <text>
        <t xml:space="preserve">VA (French Dub): Rarity</t>
      </text>
    </comment>
    <comment authorId="0" ref="H1">
      <text>
        <t xml:space="preserve">Comic writer.</t>
      </text>
    </comment>
    <comment authorId="0" ref="I1">
      <text>
        <t xml:space="preserve">Author of the FiM novel series.</t>
      </text>
    </comment>
    <comment authorId="0" ref="J1">
      <text>
        <t xml:space="preserve">Comic book artist.</t>
      </text>
    </comment>
    <comment authorId="0" ref="K1">
      <text>
        <t xml:space="preserve">Comic book colorist.</t>
      </text>
    </comment>
    <comment authorId="0" ref="L1">
      <text>
        <t xml:space="preserve">Comic book cover artist.</t>
      </text>
    </comment>
    <comment authorId="0" ref="M1">
      <text>
        <t xml:space="preserve">Comic book cover artist.</t>
      </text>
    </comment>
    <comment authorId="0" ref="N1">
      <text>
        <t xml:space="preserve">VA: Twilight Sparkle (Latin American Spanish dub)</t>
      </text>
    </comment>
    <comment authorId="0" ref="O1">
      <text>
        <t xml:space="preserve">VA: Fido the Diamond Dog.</t>
      </text>
    </comment>
    <comment authorId="0" ref="P1">
      <text>
        <t xml:space="preserve">VA: Pinkie Pie (singing), Silver Spoon.</t>
      </text>
    </comment>
    <comment authorId="0" ref="Q1">
      <text>
        <t xml:space="preserve">Comic book artist and writer.</t>
      </text>
    </comment>
    <comment authorId="0" ref="R1">
      <text>
        <t xml:space="preserve">VA: Sweetie Belle.</t>
      </text>
    </comment>
    <comment authorId="0" ref="S1">
      <text>
        <t xml:space="preserve">VA: Silver Shill</t>
      </text>
    </comment>
    <comment authorId="0" ref="T1">
      <text>
        <t xml:space="preserve">VA: Rarity (Latin American Spanish dub)</t>
      </text>
    </comment>
    <comment authorId="0" ref="U1">
      <text>
        <t xml:space="preserve">VA: Snails.</t>
      </text>
    </comment>
    <comment authorId="0" ref="V1">
      <text>
        <t xml:space="preserve">VA: Apple Bloom, Sweetie Belle (Singing)</t>
      </text>
    </comment>
    <comment authorId="0" ref="W1">
      <text>
        <t xml:space="preserve">VA: Zecora.</t>
      </text>
    </comment>
    <comment authorId="0" ref="X1">
      <text>
        <t xml:space="preserve">VA: Braeburn.</t>
      </text>
    </comment>
    <comment authorId="0" ref="Y1">
      <text>
        <t xml:space="preserve">Character designer &amp; art director</t>
      </text>
    </comment>
    <comment authorId="0" ref="Z1">
      <text>
        <t xml:space="preserve">VA: Bulk Biceps, Dr Caballeron</t>
      </text>
    </comment>
    <comment authorId="0" ref="AA1">
      <text>
        <t xml:space="preserve">VA: Discord.</t>
      </text>
    </comment>
    <comment authorId="0" ref="AB1">
      <text>
        <t xml:space="preserve">VA: Fancy Pants, Hoity Toity, Iron Will.</t>
      </text>
    </comment>
    <comment authorId="0" ref="AC1">
      <text>
        <t xml:space="preserve">VA: Mr. Cake, Carrot Cake, Filthy Rich.</t>
      </text>
    </comment>
    <comment authorId="0" ref="AD1">
      <text>
        <t xml:space="preserve">VA: Babs Seed.</t>
      </text>
    </comment>
    <comment authorId="0" ref="AE1">
      <text>
        <t xml:space="preserve">VA: Rarity (singing).</t>
      </text>
    </comment>
    <comment authorId="0" ref="AF1">
      <text>
        <t xml:space="preserve">The Creator of Friendship is Magic.</t>
      </text>
    </comment>
    <comment authorId="0" ref="AG1">
      <text>
        <t xml:space="preserve">Comic book cover artist.</t>
      </text>
    </comment>
    <comment authorId="0" ref="AH1">
      <text>
        <t xml:space="preserve">VA: Shining Armor.</t>
      </text>
    </comment>
    <comment authorId="0" ref="AI1">
      <text>
        <t xml:space="preserve">Writer.</t>
      </text>
    </comment>
    <comment authorId="0" ref="AJ1">
      <text>
        <t xml:space="preserve">Character designer</t>
      </text>
    </comment>
    <comment authorId="0" ref="AK1">
      <text>
        <t xml:space="preserve">VA: Pinkie Pie (Latin American Spanish dub)</t>
      </text>
    </comment>
    <comment authorId="0" ref="AL1">
      <text>
        <t xml:space="preserve">Writer.</t>
      </text>
    </comment>
    <comment authorId="0" ref="AM1">
      <text>
        <t xml:space="preserve">VA (Swedish Dub): Spitfire, Cheerilee, Spike, Rainbow Dash (Singing)</t>
      </text>
    </comment>
    <comment authorId="0" ref="AN1">
      <text>
        <t xml:space="preserve">VA: Gilda.</t>
      </text>
    </comment>
    <comment authorId="0" ref="AO1">
      <text>
        <t xml:space="preserve">VA: Soarin.</t>
      </text>
    </comment>
    <comment authorId="0" ref="AP1">
      <text>
        <t xml:space="preserve">Songwriter and composer.</t>
      </text>
    </comment>
    <comment authorId="0" ref="AQ1">
      <text>
        <t xml:space="preserve">Voice director</t>
      </text>
    </comment>
    <comment authorId="0" ref="AR1">
      <text>
        <t xml:space="preserve">Veteran MLP creative exec.</t>
      </text>
    </comment>
    <comment authorId="0" ref="AS1">
      <text>
        <t xml:space="preserve">Character designer.</t>
      </text>
    </comment>
    <comment authorId="0" ref="AT1">
      <text>
        <t xml:space="preserve">Writer.</t>
      </text>
    </comment>
    <comment authorId="0" ref="AU1">
      <text>
        <t xml:space="preserve">Layout/Posing Supervisor</t>
      </text>
    </comment>
    <comment authorId="0" ref="AV1">
      <text>
        <t xml:space="preserve">Writer.</t>
      </text>
    </comment>
    <comment authorId="0" ref="AW1">
      <text>
        <t xml:space="preserve">VA: Fluttershy, Pinkie Pie.</t>
      </text>
    </comment>
    <comment authorId="0" ref="AX1">
      <text>
        <t xml:space="preserve">Layout Supervisor/Animator</t>
      </text>
    </comment>
    <comment authorId="0" ref="AY1">
      <text>
        <t xml:space="preserve">VA: Flutterguy.</t>
      </text>
    </comment>
    <comment authorId="0" ref="AZ1">
      <text>
        <t xml:space="preserve">Writer &amp; Showrunner.</t>
      </text>
    </comment>
    <comment authorId="0" ref="BA1">
      <text>
        <t xml:space="preserve">VA: Princess Cadance.</t>
      </text>
    </comment>
    <comment authorId="0" ref="BB1">
      <text>
        <t xml:space="preserve">VA: Flam / Caramel / Chief Thunderhooves</t>
      </text>
    </comment>
    <comment authorId="0" ref="BC1">
      <text>
        <t xml:space="preserve">Comic artist.</t>
      </text>
    </comment>
    <comment authorId="0" ref="BD1">
      <text>
        <t xml:space="preserve">VA: Spitfire.</t>
      </text>
    </comment>
    <comment authorId="0" ref="BE1">
      <text>
        <t xml:space="preserve">VA: Twilight Sparkle (German dub)</t>
      </text>
    </comment>
    <comment authorId="0" ref="BF1">
      <text>
        <t xml:space="preserve">Storyboard Supervisor.</t>
      </text>
    </comment>
    <comment authorId="0" ref="BG1">
      <text>
        <t xml:space="preserve">Senior storyboarder.</t>
      </text>
    </comment>
    <comment authorId="0" ref="BH1">
      <text>
        <t xml:space="preserve">Writer.</t>
      </text>
    </comment>
    <comment authorId="0" ref="BI1">
      <text>
        <t xml:space="preserve">VA: Applejack (Latin American Spanish dub)</t>
      </text>
    </comment>
    <comment authorId="0" ref="BJ1">
      <text>
        <t xml:space="preserve">VA: Big Macintosh.</t>
      </text>
    </comment>
    <comment authorId="0" ref="BK1">
      <text>
        <t xml:space="preserve">VA: Maude Pie</t>
      </text>
    </comment>
    <comment authorId="0" ref="BL1">
      <text>
        <t xml:space="preserve">Comic writer.</t>
      </text>
    </comment>
    <comment authorId="0" ref="BM1">
      <text>
        <t xml:space="preserve">VA: Gustav le Grand.</t>
      </text>
    </comment>
    <comment authorId="0" ref="BN1">
      <text>
        <t xml:space="preserve">VA: Cheerilee, Princess Celestia.</t>
      </text>
    </comment>
    <comment authorId="0" ref="BO1">
      <text>
        <t xml:space="preserve">VA: Scootaloo.</t>
      </text>
    </comment>
    <comment authorId="0" ref="BP1">
      <text>
        <t xml:space="preserve">Writer.</t>
      </text>
    </comment>
    <comment authorId="0" ref="BQ1">
      <text>
        <t xml:space="preserve">Writer.</t>
      </text>
    </comment>
    <comment authorId="0" ref="BR1">
      <text>
        <t xml:space="preserve">Comic book artist.</t>
      </text>
    </comment>
    <comment authorId="0" ref="BS1">
      <text>
        <t xml:space="preserve">VA (German Dub): Discord.</t>
      </text>
    </comment>
    <comment authorId="0" ref="BT1">
      <text>
        <t xml:space="preserve">Writer.</t>
      </text>
    </comment>
    <comment authorId="0" ref="BU1">
      <text>
        <t xml:space="preserve">VA: Rainbow Dash (Latin American Spanish dub)</t>
      </text>
    </comment>
    <comment authorId="0" ref="BV1">
      <text>
        <t xml:space="preserve">Writer.</t>
      </text>
    </comment>
    <comment authorId="0" ref="BW1">
      <text>
        <t xml:space="preserve">VA: Twilight Sparkle (singing), Sunset Shimmer</t>
      </text>
    </comment>
    <comment authorId="0" ref="BX1">
      <text>
        <t xml:space="preserve">VA: Rarity, Luna, Nightmare Moon, Granny Smith.</t>
      </text>
    </comment>
    <comment authorId="0" ref="BY1">
      <text>
        <t xml:space="preserve">VA: Diamond Tiara.</t>
      </text>
    </comment>
    <comment authorId="0" ref="BZ1">
      <text>
        <t xml:space="preserve">VA: Twilight Sparkle.</t>
      </text>
    </comment>
    <comment authorId="0" ref="CA1">
      <text>
        <t xml:space="preserve">Director.</t>
      </text>
    </comment>
    <comment authorId="0" ref="CB1">
      <text>
        <t xml:space="preserve">VA: Steven Magnet, Snips.</t>
      </text>
    </comment>
    <comment authorId="0" ref="CC1">
      <text>
        <t xml:space="preserve">VA: Prince Blueblood, Pony (Donut) Joe.</t>
      </text>
    </comment>
    <comment authorId="0" ref="CD1">
      <text>
        <t xml:space="preserve">VA: Fluttershy (Latin American Spanish dub)</t>
      </text>
    </comment>
    <comment authorId="0" ref="CE1">
      <text>
        <t xml:space="preserve">VA: Flim.</t>
      </text>
    </comment>
    <comment authorId="0" ref="CF1">
      <text>
        <t xml:space="preserve">VA: Spike, Mayor Mare.</t>
      </text>
    </comment>
    <comment authorId="0" ref="CG1">
      <text>
        <t xml:space="preserve">VA: Pinkie Pie (German dub)</t>
      </text>
    </comment>
    <comment authorId="0" ref="CH1">
      <text>
        <t xml:space="preserve">Writer.</t>
      </text>
    </comment>
    <comment authorId="0" ref="CI1">
      <text>
        <t xml:space="preserve">Director.</t>
      </text>
    </comment>
    <comment authorId="0" ref="CJ1">
      <text>
        <t xml:space="preserve">The Creator of My Little Pony.</t>
      </text>
    </comment>
    <comment authorId="0" ref="CK1">
      <text>
        <t xml:space="preserve">Comic book artist and writer.</t>
      </text>
    </comment>
    <comment authorId="0" ref="CL1">
      <text>
        <t xml:space="preserve">VA: Daring Do, Twist.</t>
      </text>
    </comment>
    <comment authorId="0" ref="BX13">
      <text>
        <t xml:space="preserve">Attendance announced Friday, September 13th, 2013.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This figure is a rough low-end estimate, and is listed here with certain caveats: 
- not every charitable effort is accounted for (as not every effort has been catalogued or reported to us)
– data for Bronies for Good and the Brony Thank You Fund are incomplete
– in some cases exchange rates are calculated on current (rather than historical) information, leading to minor variances
– not all figures from http://actionmastermegatron.deviantart.com/journal/Brony-charity-Listings-334003658 are yet included.</t>
      </text>
    </comment>
    <comment authorId="0" ref="B32">
      <text>
        <t xml:space="preserve">https://twitter.com/bronythankyou/status/630556391812390913</t>
      </text>
    </comment>
    <comment authorId="0" ref="B33">
      <text>
        <t xml:space="preserve">https://twitter.com/bronythankyou/status/605581231649079298</t>
      </text>
    </comment>
    <comment authorId="0" ref="B42">
      <text>
        <t xml:space="preserve">https://www.firstgiving.com/fundraiser/manliestbrony/secondharvest-bloo</t>
      </text>
    </comment>
    <comment authorId="0" ref="B45">
      <text>
        <t xml:space="preserve">Included under BABSCon 2015 above, and not included in the total here.</t>
      </text>
    </comment>
    <comment authorId="0" ref="C59">
      <text>
        <t xml:space="preserve">To do: see if this was included in the checks presented at the end of the con, or donated separately.</t>
      </text>
    </comment>
    <comment authorId="0" ref="B70">
      <text>
        <t xml:space="preserve">Number is approximate and pending final announcement.</t>
      </text>
    </comment>
    <comment authorId="0" ref="A71">
      <text>
        <t xml:space="preserve">details are scant; more investigation is required</t>
      </text>
    </comment>
    <comment authorId="0" ref="B73">
      <text>
        <t xml:space="preserve">As per exchange rate to USD on October 11th, 2014.</t>
      </text>
    </comment>
    <comment authorId="0" ref="D73">
      <text>
        <t xml:space="preserve">Source: https://twitter.com/BronyScot/status/520957760574595073</t>
      </text>
    </comment>
    <comment authorId="0" ref="B74">
      <text>
        <t xml:space="preserve">Source: https://twitter.com/Czequestria/status/509280876853596160</t>
      </text>
    </comment>
    <comment authorId="0" ref="D75">
      <text>
        <t xml:space="preserve">Per exchange rate on day of final figure announcement. Initially reported as £11,000.
https://twitter.com/BUCKcon/status/524529378475405313</t>
      </text>
    </comment>
    <comment authorId="0" ref="B79">
      <text>
        <t xml:space="preserve">Source: http://yoursiblings.org/blog/2014/08/06/galacon-2014/</t>
      </text>
    </comment>
    <comment authorId="0" ref="B81">
      <text>
        <t xml:space="preserve">Source: https://twitter.com/imjoshdean/status/496692430155300864</t>
      </text>
    </comment>
    <comment authorId="0" ref="B83">
      <text>
        <t xml:space="preserve">Source: https://twitter.com/UHPride/status/489874042870960128</t>
      </text>
    </comment>
    <comment authorId="0" ref="D84">
      <text>
        <t xml:space="preserve">https://twitter.com/BronyExpo/status/507973116757159937</t>
      </text>
    </comment>
    <comment authorId="0" ref="B85">
      <text>
        <t xml:space="preserve">Source: https://twitter.com/EverfreeNW/status/489184226588110850</t>
      </text>
    </comment>
    <comment authorId="0" ref="B87">
      <text>
        <t xml:space="preserve">https://twitter.com/Canterlot_Uni/status/486494585485414400</t>
      </text>
    </comment>
    <comment authorId="0" ref="B88">
      <text>
        <t xml:space="preserve">Source: https://twitter.com/TrotCon/status/485781124824969216</t>
      </text>
    </comment>
    <comment authorId="0" ref="C88">
      <text>
        <t xml:space="preserve">Charity auction administrated by Bronies for Good.</t>
      </text>
    </comment>
    <comment authorId="0" ref="B93">
      <text>
        <t xml:space="preserve">Source: private communication.</t>
      </text>
    </comment>
    <comment authorId="0" ref="C95">
      <text>
        <t xml:space="preserve">BABSCon raised money for several charities through several avenues; the breakdown is as follows:
$9331 split evenly between SPCA and SF Suicide Prevention
(charity auction)
$4314 Wounded Warriors
$2167 College View School
(hoofwrestling event)
$4400 RAINN
(/mlp)</t>
      </text>
    </comment>
    <comment authorId="0" ref="B97">
      <text>
        <t xml:space="preserve">Source: https://twitter.com/PonyconAU/status/432655017099534337</t>
      </text>
    </comment>
    <comment authorId="0" ref="B111">
      <text>
        <t xml:space="preserve">As of October 21st. Currently in progress.</t>
      </text>
    </comment>
    <comment authorId="0" ref="B114">
      <text>
        <t xml:space="preserve">Reported as $1,365 on Dusty's list.</t>
      </text>
    </comment>
    <comment authorId="0" ref="B118">
      <text>
        <t xml:space="preserve">Reported as $1181.99 on site; rounding makes sense.</t>
      </text>
    </comment>
    <comment authorId="0" ref="B120">
      <text>
        <t xml:space="preserve">Reported as $1,021.00 on Dusty's site.</t>
      </text>
    </comment>
    <comment authorId="0" ref="C123">
      <text>
        <t xml:space="preserve">Figure is listed here, but we need to make sure it's not double-reported with the amount in the Cons section above.
Also, $6522 reported on Dusty's site is higher than the breakdown given by BABSCon; presumbly some more money filtered in later, and the higher number is accurate, but if we want to break it down line by line we'll need to verify that.</t>
      </text>
    </comment>
    <comment authorId="0" ref="B126">
      <text>
        <t xml:space="preserve">Reported on Dusty's site as $451.00</t>
      </text>
    </comment>
    <comment authorId="0" ref="B127">
      <text>
        <t xml:space="preserve">Reported as $655 on Dusty's site.</t>
      </text>
    </comment>
    <comment authorId="0" ref="A141">
      <text>
        <t xml:space="preserve">Clarified by World of Equestria liaison on 8/13/2015; Casy was organizer, but efforts were for her brother Dil.
https://twitter.com/DrWingMc/status/631939310804078592</t>
      </text>
    </comment>
    <comment authorId="0" ref="B141">
      <text>
        <t xml:space="preserve">Source: https://twitter.com/DrWingMc/status/497486304176005120</t>
      </text>
    </comment>
    <comment authorId="0" ref="B142">
      <text>
        <t xml:space="preserve">Source: https://twitter.com/pixel_prism/status/497795889939763201</t>
      </text>
    </comment>
    <comment authorId="0" ref="B148">
      <text>
        <t xml:space="preserve">Source: https://twitter.com/SacBronyExpo/status/425821757627305984</t>
      </text>
    </comment>
    <comment authorId="0" ref="C148">
      <text>
        <t xml:space="preserve">Donated leftover funds; unclear on whether they had a separate charity auction.</t>
      </text>
    </comment>
    <comment authorId="0" ref="B170">
      <text>
        <t xml:space="preserve">Reported as $215 on the fundraiser site; presumably $5 came in via a separate donation.</t>
      </text>
    </comment>
    <comment authorId="0" ref="B171">
      <text>
        <t xml:space="preserve">Direct PayPal donations.</t>
      </text>
    </comment>
    <comment authorId="0" ref="B172">
      <text>
        <t xml:space="preserve">Listed as $628 on fundraiser page.</t>
      </text>
    </comment>
    <comment authorId="0" ref="B174">
      <text>
        <t xml:space="preserve">Reported as $613.00 on Dusty's website.</t>
      </text>
    </comment>
    <comment authorId="0" ref="B186">
      <text>
        <t xml:space="preserve">Reported as $320.00 on Dusty's site.</t>
      </text>
    </comment>
    <comment authorId="0" ref="B187">
      <text>
        <t xml:space="preserve">Listed as $338.00 on Dusty's site.</t>
      </text>
    </comment>
    <comment authorId="0" ref="B188">
      <text>
        <t xml:space="preserve">Via PayPal.</t>
      </text>
    </comment>
    <comment authorId="0" ref="C189">
      <text>
        <t xml:space="preserve">http://www.firstgiving.com/fundraiser/manliestbrony/manlychallengethehumanefarmingassociation</t>
      </text>
    </comment>
    <comment authorId="0" ref="C191">
      <text>
        <t xml:space="preserve">potential overlap with number reported in "independent efforts"; verify and adjust accordingly</t>
      </text>
    </comment>
    <comment authorId="0" ref="B196">
      <text>
        <t xml:space="preserve">$600 raised, and $600 matched by Coca Cola.</t>
      </text>
    </comment>
    <comment authorId="0" ref="A198">
      <text>
        <t xml:space="preserve">Though not all donors were bronies, Andrea has publicly credited them for their involvement (https://twitter.com/AndreaLibman/status/631973354505809920), so the figure is included here.</t>
      </text>
    </comment>
    <comment authorId="0" ref="D198">
      <text>
        <t xml:space="preserve">Exchange rate calculated at 0.9710 CAD to 1 USD, based on the average daily midpoint rate for the week following the race (June 17th-24th, 2013). Data from Oanda.com.</t>
      </text>
    </comment>
    <comment authorId="0" ref="C202">
      <text>
        <t xml:space="preserve">Divided thus: $7,304; $1,865; $2,486.33 ($11,655.33 total)</t>
      </text>
    </comment>
    <comment authorId="0" ref="B219">
      <text>
        <t xml:space="preserve">Approximate.</t>
      </text>
    </comment>
    <comment authorId="0" ref="D227">
      <text>
        <t xml:space="preserve">Number is approximate. Exchange rate calculated at 0.9882 CAD-&gt;USD, per Oanda.com's historical data for the average daily midpoint rate in the week following the fundraiser (April 30th-May 7th, 2012).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Prices are in (or converted to) USD. Hover over for prices in local currency.
Prices don't (currently) include special add-ons.
Prices reflect door prices except where otherwise noted.
Data is still being curated, and is subject to change.</t>
      </text>
    </comment>
    <comment authorId="0" ref="G1">
      <text>
        <t xml:space="preserve">Sponsorships are not necessarily directly comparable, given each con has different perks at each level.</t>
      </text>
    </comment>
    <comment authorId="0" ref="C2">
      <text>
        <t xml:space="preserve">The cost for a no-frills entry-level all-day adult pass to the convention in question.</t>
      </text>
    </comment>
    <comment authorId="0" ref="D2">
      <text>
        <t xml:space="preserve">Not the price charged by a con for an individual day, but a basic indicator of how much bang you're getting for your buck. Programming schedules differ from con to con.</t>
      </text>
    </comment>
    <comment authorId="0" ref="E2">
      <text>
        <t xml:space="preserve">I'm still experimenting with the E and F columns, trying to determine what the most useful calculations are.</t>
      </text>
    </comment>
    <comment authorId="0" ref="C4">
      <text>
        <t xml:space="preserve">€ 80</t>
      </text>
    </comment>
    <comment authorId="0" ref="M4">
      <text>
        <t xml:space="preserve">€ 35</t>
      </text>
    </comment>
    <comment authorId="0" ref="N4">
      <text>
        <t xml:space="preserve">€ 35</t>
      </text>
    </comment>
    <comment authorId="0" ref="O4">
      <text>
        <t xml:space="preserve">€ 35</t>
      </text>
    </comment>
    <comment authorId="0" ref="C7">
      <text>
        <t xml:space="preserve">Available at $35 and $40 during early bird pre-reg.</t>
      </text>
    </comment>
    <comment authorId="0" ref="C9">
      <text>
        <t xml:space="preserve">Seniors: $40
Military: $50</t>
      </text>
    </comment>
    <comment authorId="0" ref="Q9">
      <text>
        <t xml:space="preserve">With adult badge purchase.</t>
      </text>
    </comment>
    <comment authorId="0" ref="C11">
      <text>
        <t xml:space="preserve">€ 64</t>
      </text>
    </comment>
    <comment authorId="0" ref="G11">
      <text>
        <t xml:space="preserve">€ 128</t>
      </text>
    </comment>
    <comment authorId="0" ref="H11">
      <text>
        <t xml:space="preserve">€ 256</t>
      </text>
    </comment>
    <comment authorId="0" ref="A13">
      <text>
        <t xml:space="preserve">Dance passes are an added cost.</t>
      </text>
    </comment>
    <comment authorId="0" ref="C15">
      <text>
        <t xml:space="preserve">C$ 50</t>
      </text>
    </comment>
    <comment authorId="0" ref="G15">
      <text>
        <t xml:space="preserve">C$ 100</t>
      </text>
    </comment>
    <comment authorId="0" ref="H15">
      <text>
        <t xml:space="preserve">C$ 150</t>
      </text>
    </comment>
    <comment authorId="0" ref="I15">
      <text>
        <t xml:space="preserve">C$ 3000</t>
      </text>
    </comment>
    <comment authorId="0" ref="M15">
      <text>
        <t xml:space="preserve">C$ 30</t>
      </text>
    </comment>
    <comment authorId="0" ref="N15">
      <text>
        <t xml:space="preserve">C$ 40</t>
      </text>
    </comment>
    <comment authorId="0" ref="O15">
      <text>
        <t xml:space="preserve">C$ 30</t>
      </text>
    </comment>
    <comment authorId="0" ref="C16">
      <text>
        <t xml:space="preserve">£80</t>
      </text>
    </comment>
    <comment authorId="0" ref="G16">
      <text>
        <t xml:space="preserve">£190</t>
      </text>
    </comment>
    <comment authorId="0" ref="H16">
      <text>
        <t xml:space="preserve">£335</t>
      </text>
    </comment>
    <comment authorId="0" ref="M16">
      <text>
        <t xml:space="preserve">£45</t>
      </text>
    </comment>
    <comment authorId="0" ref="N16">
      <text>
        <t xml:space="preserve">£45</t>
      </text>
    </comment>
    <comment authorId="0" ref="C17">
      <text>
        <t xml:space="preserve">320 CZK</t>
      </text>
    </comment>
    <comment authorId="0" ref="G17">
      <text>
        <t xml:space="preserve">777 CZK</t>
      </text>
    </comment>
    <comment authorId="0" ref="H17">
      <text>
        <t xml:space="preserve">1800 CZK</t>
      </text>
    </comment>
    <comment authorId="0" ref="C20">
      <text>
        <t xml:space="preserve">AUD 65
Pre-reg tickets were available for AUD $40 and $45.</t>
      </text>
    </comment>
    <comment authorId="0" ref="G20">
      <text>
        <t xml:space="preserve">AUD 199</t>
      </text>
    </comment>
    <comment authorId="0" ref="H20">
      <text>
        <t xml:space="preserve">AUD 499</t>
      </text>
    </comment>
    <comment authorId="0" ref="I20">
      <text>
        <t xml:space="preserve">AUD 999</t>
      </text>
    </comment>
    <comment authorId="0" ref="M20">
      <text>
        <t xml:space="preserve">AUD 40</t>
      </text>
    </comment>
    <comment authorId="0" ref="N20">
      <text>
        <t xml:space="preserve">AUD 40</t>
      </text>
    </comment>
    <comment authorId="0" ref="C21">
      <text>
        <t xml:space="preserve">£35</t>
      </text>
    </comment>
    <comment authorId="0" ref="G21">
      <text>
        <t xml:space="preserve">£99</t>
      </text>
    </comment>
    <comment authorId="0" ref="C22">
      <text>
        <t xml:space="preserve">£25.00</t>
      </text>
    </comment>
    <comment authorId="0" ref="M22">
      <text>
        <t xml:space="preserve">£15.00</t>
      </text>
    </comment>
    <comment authorId="0" ref="N22">
      <text>
        <t xml:space="preserve">£15.00</t>
      </text>
    </comment>
    <comment authorId="0" ref="P24">
      <text>
        <t xml:space="preserve">Technically, the child pays the full price, but the parent or guardian is allowed in for free.</t>
      </text>
    </comment>
    <comment authorId="0" ref="C25">
      <text>
        <t xml:space="preserve">Early: $35</t>
      </text>
    </comment>
    <comment authorId="0" ref="G25">
      <text>
        <t xml:space="preserve">Early: $65</t>
      </text>
    </comment>
    <comment authorId="0" ref="H25">
      <text>
        <t xml:space="preserve">Early: $155</t>
      </text>
    </comment>
    <comment authorId="0" ref="I25">
      <text>
        <t xml:space="preserve">Early: $215</t>
      </text>
    </comment>
    <comment authorId="0" ref="C26">
      <text>
        <t xml:space="preserve">¥ 2000</t>
      </text>
    </comment>
    <comment authorId="0" ref="C27">
      <text>
        <t xml:space="preserve">Ranges from $30-$35 during pre-reg.</t>
      </text>
    </comment>
    <comment authorId="0" ref="A28">
      <text>
        <t xml:space="preserve">Though not specifically an MLP convention, in the judgement of this list curator there's enough content and crossover in staff to warrant the con's inclusion here.</t>
      </text>
    </comment>
    <comment authorId="0" ref="C28">
      <text>
        <t xml:space="preserve">Pre-reg price.</t>
      </text>
    </comment>
    <comment authorId="0" ref="M28">
      <text>
        <t xml:space="preserve">Pre-reg price.
</t>
      </text>
    </comment>
    <comment authorId="0" ref="N28">
      <text>
        <t xml:space="preserve">Pre-reg price.</t>
      </text>
    </comment>
    <comment authorId="0" ref="A30">
      <text>
        <t xml:space="preserve">DerpyCon derives its name and some art assets from the MLP fandom, but bills itself as being multi-genre; since programming will likely include a substantial amount of FiM material, it is included here. (See DrawnCon for precedent.)</t>
      </text>
    </comment>
    <comment authorId="0" ref="C32">
      <text>
        <t xml:space="preserve">€ 60
Price includes access to the one day of the event, plus the prior evening's festivities.</t>
      </text>
    </comment>
    <comment authorId="0" ref="G32">
      <text>
        <t xml:space="preserve">€ 85</t>
      </text>
    </comment>
    <comment authorId="0" ref="H32">
      <text>
        <t xml:space="preserve">€ 130</t>
      </text>
    </comment>
    <comment authorId="0" ref="M32">
      <text>
        <t xml:space="preserve">€ 29</t>
      </text>
    </comment>
    <comment authorId="0" ref="C33">
      <text>
        <t xml:space="preserve">Early bird pricing.</t>
      </text>
    </comment>
    <comment authorId="0" ref="G33">
      <text>
        <t xml:space="preserve">Early bird pricing.</t>
      </text>
    </comment>
    <comment authorId="0" ref="H33">
      <text>
        <t xml:space="preserve">Early bird pricing.</t>
      </text>
    </comment>
    <comment authorId="0" ref="I33">
      <text>
        <t xml:space="preserve">Early bird pricing.</t>
      </text>
    </comment>
    <comment authorId="0" ref="J33">
      <text>
        <t xml:space="preserve">Early bird pricing.</t>
      </text>
    </comment>
    <comment authorId="0" ref="K33">
      <text>
        <t xml:space="preserve">Early bird pricing.</t>
      </text>
    </comment>
    <comment authorId="0" ref="Q33">
      <text>
        <t xml:space="preserve">Early bird pricing.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@sparklepeeppony has created a handy graphical representation of these locations in Google Maps.</t>
      </text>
    </comment>
    <comment authorId="0" ref="E1">
      <text>
        <t xml:space="preserve">All attendee counts are reported by the conventions themselves.</t>
      </text>
    </comment>
    <comment authorId="0" ref="J1">
      <text>
        <t xml:space="preserve">Link goes to a curated and subscribable list of these Twitter accounts.</t>
      </text>
    </comment>
    <comment authorId="0" ref="I3">
      <text>
        <t xml:space="preserve">Site is down.</t>
      </text>
    </comment>
    <comment authorId="0" ref="F7">
      <text>
        <t xml:space="preserve">"Thedford Rescue" in Plano, Texas.</t>
      </text>
    </comment>
    <comment authorId="0" ref="A8">
      <text>
        <t xml:space="preserve">Big thanks to @vonPeterhof for providing missing details on this con.</t>
      </text>
    </comment>
    <comment authorId="0" ref="K8">
      <text>
        <t xml:space="preserve">Link goes to the con's presence on a Russian social networking site similar to Facebook.</t>
      </text>
    </comment>
    <comment authorId="0" ref="J12">
      <text>
        <t xml:space="preserve">Account has been suspended, for some reason.</t>
      </text>
    </comment>
    <comment authorId="0" ref="A19">
      <text>
        <t xml:space="preserve">Formerly Silly Filly Con.</t>
      </text>
    </comment>
    <comment authorId="0" ref="F20">
      <text>
        <t xml:space="preserve">Fundraising was assisted by Bronies For Good. A separate food drive benefiting the MD Food Bank was also held.</t>
      </text>
    </comment>
    <comment authorId="0" ref="G20">
      <text>
        <t xml:space="preserve">Initially reported as greater than $20k USD; later clarified by BC officials as greater than $23k USD.</t>
      </text>
    </comment>
    <comment authorId="0" ref="I24">
      <text>
        <t xml:space="preserve">Website is down as of 19 Nov 2013.</t>
      </text>
    </comment>
    <comment authorId="0" ref="J25">
      <text>
        <t xml:space="preserve">Formerly "@BFF_Fan"; officially changed July 31st, 2014.</t>
      </text>
    </comment>
    <comment authorId="0" ref="A28">
      <text>
        <t xml:space="preserve">Sub-convention within the VII Japan Weekend convention.</t>
      </text>
    </comment>
    <comment authorId="0" ref="K29">
      <text>
        <t xml:space="preserve">[Sic]</t>
      </text>
    </comment>
    <comment authorId="0" ref="A31">
      <text>
        <t xml:space="preserve">Originally scheduled for April 19th-21st, but pushed back to October after LPU fallout.</t>
      </text>
    </comment>
    <comment authorId="0" ref="I31">
      <text>
        <t xml:space="preserve">Site is down as of 13 Sep 2013.</t>
      </text>
    </comment>
    <comment authorId="0" ref="A34">
      <text>
        <t xml:space="preserve">Though not specifically an MLP convention, in the judgement of this list curator there's enough content and crossover in staff to warrant the con's inclusion here.</t>
      </text>
    </comment>
    <comment authorId="0" ref="F35">
      <text>
        <t xml:space="preserve">In addition to funds raised through the charity auction, all net con profits will also be donated to St. Jude.
A combination virtual-physical food drive benefits the North Texas Food Bank.</t>
      </text>
    </comment>
    <comment authorId="0" ref="G35">
      <text>
        <t xml:space="preserve">Along with 186lb of food also donated to the Food Bank.</t>
      </text>
    </comment>
    <comment authorId="0" ref="G36">
      <text>
        <t xml:space="preserve">As of November 21st, we're waiting on confirmation of whether that's in USD or Canadian currency.</t>
      </text>
    </comment>
    <comment authorId="0" ref="H37">
      <text>
        <t xml:space="preserve">Estimate; should be considered a conservative, best-guess, low-end total.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Senior storyboard artist.</t>
      </text>
    </comment>
    <comment authorId="0" ref="C1">
      <text>
        <t xml:space="preserve">VA: Applejack, Rainbow Dash.</t>
      </text>
    </comment>
    <comment authorId="0" ref="D1">
      <text>
        <t xml:space="preserve">VA: Trixie, Queen Chrysalis.</t>
      </text>
    </comment>
    <comment authorId="0" ref="E1">
      <text>
        <t xml:space="preserve">VA (French Dub): Rarity</t>
      </text>
    </comment>
    <comment authorId="0" ref="F1">
      <text>
        <t xml:space="preserve">Author of the upcoming FiM novel series.</t>
      </text>
    </comment>
    <comment authorId="0" ref="G1">
      <text>
        <t xml:space="preserve">Comic book colorist.</t>
      </text>
    </comment>
    <comment authorId="0" ref="H1">
      <text>
        <t xml:space="preserve">Comic book cover artist.</t>
      </text>
    </comment>
    <comment authorId="0" ref="I1">
      <text>
        <t xml:space="preserve">VA: Fido the Diamond Dog.</t>
      </text>
    </comment>
    <comment authorId="0" ref="J1">
      <text>
        <t xml:space="preserve">VA: Pinkie Pie (singing).</t>
      </text>
    </comment>
    <comment authorId="0" ref="K1">
      <text>
        <t xml:space="preserve">Comic book artist and writer.</t>
      </text>
    </comment>
    <comment authorId="0" ref="L1">
      <text>
        <t xml:space="preserve">VA: Sweetie Belle.</t>
      </text>
    </comment>
    <comment authorId="0" ref="M1">
      <text>
        <t xml:space="preserve">VA: Snails.</t>
      </text>
    </comment>
    <comment authorId="0" ref="N1">
      <text>
        <t xml:space="preserve">VA: Apple Bloom, Sweetie Belle (Singing)</t>
      </text>
    </comment>
    <comment authorId="0" ref="O1">
      <text>
        <t xml:space="preserve">VA: Zecora.</t>
      </text>
    </comment>
    <comment authorId="0" ref="P1">
      <text>
        <t xml:space="preserve">VA: Braeburn.</t>
      </text>
    </comment>
    <comment authorId="0" ref="Q1">
      <text>
        <t xml:space="preserve">VA: Discord.</t>
      </text>
    </comment>
    <comment authorId="0" ref="R1">
      <text>
        <t xml:space="preserve">VA: Fancy Pants, Hoity Toity, Iron Will.</t>
      </text>
    </comment>
    <comment authorId="0" ref="S1">
      <text>
        <t xml:space="preserve">VA: Mr. Cake, Carrot Cake, Filthy Rich.</t>
      </text>
    </comment>
    <comment authorId="0" ref="T1">
      <text>
        <t xml:space="preserve">VA: Babs Seed.</t>
      </text>
    </comment>
    <comment authorId="0" ref="U1">
      <text>
        <t xml:space="preserve">VA: Rarity (singing).</t>
      </text>
    </comment>
    <comment authorId="0" ref="V1">
      <text>
        <t xml:space="preserve">The Creator of Friendship is Magic.</t>
      </text>
    </comment>
    <comment authorId="0" ref="W1">
      <text>
        <t xml:space="preserve">VA: Shining Armor.</t>
      </text>
    </comment>
    <comment authorId="0" ref="X1">
      <text>
        <t xml:space="preserve">Writer.</t>
      </text>
    </comment>
    <comment authorId="0" ref="Y1">
      <text>
        <t xml:space="preserve">Character designer</t>
      </text>
    </comment>
    <comment authorId="0" ref="Z1">
      <text>
        <t xml:space="preserve">VA (Swedish Dub): Spitfire, Cheerilee, Spike, Rainbow Dash (Singing)</t>
      </text>
    </comment>
    <comment authorId="0" ref="AA1">
      <text>
        <t xml:space="preserve">VA: Gilda.</t>
      </text>
    </comment>
    <comment authorId="0" ref="AB1">
      <text>
        <t xml:space="preserve">VA: Soarin.</t>
      </text>
    </comment>
    <comment authorId="0" ref="AC1">
      <text>
        <t xml:space="preserve">Song Writer / Composer / Producer.</t>
      </text>
    </comment>
    <comment authorId="0" ref="AD1">
      <text>
        <t xml:space="preserve">Writer.</t>
      </text>
    </comment>
    <comment authorId="0" ref="AE1">
      <text>
        <t xml:space="preserve">VA: Fluttershy, Pinkie Pie.</t>
      </text>
    </comment>
    <comment authorId="0" ref="AF1">
      <text>
        <t xml:space="preserve">VA: Flutterguy.</t>
      </text>
    </comment>
    <comment authorId="0" ref="AG1">
      <text>
        <t xml:space="preserve">Writer &amp; Showrunner.</t>
      </text>
    </comment>
    <comment authorId="0" ref="AH1">
      <text>
        <t xml:space="preserve">VA: Princess Cadance.</t>
      </text>
    </comment>
    <comment authorId="0" ref="AI1">
      <text>
        <t xml:space="preserve">VA: Flam / Caramel / Chief Thunderhooves</t>
      </text>
    </comment>
    <comment authorId="0" ref="AJ1">
      <text>
        <t xml:space="preserve">VA: Spitfire.</t>
      </text>
    </comment>
    <comment authorId="0" ref="AK1">
      <text>
        <t xml:space="preserve">Storyboard Supervisor.</t>
      </text>
    </comment>
    <comment authorId="0" ref="AL1">
      <text>
        <t xml:space="preserve">Senior storyboarder.</t>
      </text>
    </comment>
    <comment authorId="0" ref="AM1">
      <text>
        <t xml:space="preserve">Writer.</t>
      </text>
    </comment>
    <comment authorId="0" ref="AN1">
      <text>
        <t xml:space="preserve">VA: Big Macintosh.</t>
      </text>
    </comment>
    <comment authorId="0" ref="AO1">
      <text>
        <t xml:space="preserve">VA: Gustav le Grand.</t>
      </text>
    </comment>
    <comment authorId="0" ref="AP1">
      <text>
        <t xml:space="preserve">VA: Cheerilee, Princess Celestia.</t>
      </text>
    </comment>
    <comment authorId="0" ref="AQ1">
      <text>
        <t xml:space="preserve">VA (German Dub): Discord.</t>
      </text>
    </comment>
    <comment authorId="0" ref="AR1">
      <text>
        <t xml:space="preserve">VA: Scootaloo.</t>
      </text>
    </comment>
    <comment authorId="0" ref="AS1">
      <text>
        <t xml:space="preserve">Writer.</t>
      </text>
    </comment>
    <comment authorId="0" ref="AT1">
      <text>
        <t xml:space="preserve">Writer.</t>
      </text>
    </comment>
    <comment authorId="0" ref="AU1">
      <text>
        <t xml:space="preserve">Comic book artist.</t>
      </text>
    </comment>
    <comment authorId="0" ref="AV1">
      <text>
        <t xml:space="preserve">Writer.</t>
      </text>
    </comment>
    <comment authorId="0" ref="AW1">
      <text>
        <t xml:space="preserve">Writer.</t>
      </text>
    </comment>
    <comment authorId="0" ref="AX1">
      <text>
        <t xml:space="preserve">VA: Twilight Sparkle (singing).</t>
      </text>
    </comment>
    <comment authorId="0" ref="AY1">
      <text>
        <t xml:space="preserve">VA: Rarity, Luna, Nightmare Moon, Granny Smith.</t>
      </text>
    </comment>
    <comment authorId="0" ref="AZ1">
      <text>
        <t xml:space="preserve">VA: Diamond Tiara.</t>
      </text>
    </comment>
    <comment authorId="0" ref="BA1">
      <text>
        <t xml:space="preserve">VA: Twilight Sparkle.</t>
      </text>
    </comment>
    <comment authorId="0" ref="BB1">
      <text>
        <t xml:space="preserve">Director.</t>
      </text>
    </comment>
    <comment authorId="0" ref="BC1">
      <text>
        <t xml:space="preserve">VA: Steven Magnet, Snips.</t>
      </text>
    </comment>
    <comment authorId="0" ref="BD1">
      <text>
        <t xml:space="preserve">VA: Prince Blueblood, Pony (Donut) Joe.</t>
      </text>
    </comment>
    <comment authorId="0" ref="BE1">
      <text>
        <t xml:space="preserve">VA: Flim.</t>
      </text>
    </comment>
    <comment authorId="0" ref="BF1">
      <text>
        <t xml:space="preserve">VA: Spike, Mayor Mare.</t>
      </text>
    </comment>
    <comment authorId="0" ref="BG1">
      <text>
        <t xml:space="preserve">Writer.</t>
      </text>
    </comment>
    <comment authorId="0" ref="BH1">
      <text>
        <t xml:space="preserve">Director.</t>
      </text>
    </comment>
    <comment authorId="0" ref="BI1">
      <text>
        <t xml:space="preserve">The Creator of My Little Pony.</t>
      </text>
    </comment>
    <comment authorId="0" ref="BJ1">
      <text>
        <t xml:space="preserve">VA: Daring Do, Twist.</t>
      </text>
    </comment>
    <comment authorId="0" ref="C29">
      <text>
        <t xml:space="preserve">Performing with her band Hey Ocean!</t>
      </text>
    </comment>
  </commentList>
</comments>
</file>

<file path=xl/comments7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Senior storyboard artist.</t>
      </text>
    </comment>
    <comment authorId="0" ref="C1">
      <text>
        <t xml:space="preserve">VA: Applejack, Rainbow Dash.</t>
      </text>
    </comment>
    <comment authorId="0" ref="D1">
      <text>
        <t xml:space="preserve">VA: Trixie, Queen Chrysalis.</t>
      </text>
    </comment>
    <comment authorId="0" ref="E1">
      <text>
        <t xml:space="preserve">VA (French Dub): Rarity</t>
      </text>
    </comment>
    <comment authorId="0" ref="F1">
      <text>
        <t xml:space="preserve">Author of the upcoming FiM novel series.</t>
      </text>
    </comment>
    <comment authorId="0" ref="G1">
      <text>
        <t xml:space="preserve">Comic book artist.</t>
      </text>
    </comment>
    <comment authorId="0" ref="H1">
      <text>
        <t xml:space="preserve">Comic book colorist.</t>
      </text>
    </comment>
    <comment authorId="0" ref="I1">
      <text>
        <t xml:space="preserve">Comic book cover artist.</t>
      </text>
    </comment>
    <comment authorId="0" ref="J1">
      <text>
        <t xml:space="preserve">VA: Fido the Diamond Dog.</t>
      </text>
    </comment>
    <comment authorId="0" ref="K1">
      <text>
        <t xml:space="preserve">VA: Pinkie Pie (singing).</t>
      </text>
    </comment>
    <comment authorId="0" ref="L1">
      <text>
        <t xml:space="preserve">Comic book artist and writer.</t>
      </text>
    </comment>
    <comment authorId="0" ref="M1">
      <text>
        <t xml:space="preserve">VA: Sweetie Belle.</t>
      </text>
    </comment>
    <comment authorId="0" ref="N1">
      <text>
        <t xml:space="preserve">VA: Snails.</t>
      </text>
    </comment>
    <comment authorId="0" ref="O1">
      <text>
        <t xml:space="preserve">VA: Apple Bloom, Sweetie Belle (Singing)</t>
      </text>
    </comment>
    <comment authorId="0" ref="P1">
      <text>
        <t xml:space="preserve">VA: Zecora.</t>
      </text>
    </comment>
    <comment authorId="0" ref="Q1">
      <text>
        <t xml:space="preserve">VA: Braeburn.</t>
      </text>
    </comment>
    <comment authorId="0" ref="R1">
      <text>
        <t xml:space="preserve">VA: Discord.</t>
      </text>
    </comment>
    <comment authorId="0" ref="S1">
      <text>
        <t xml:space="preserve">VA: Fancy Pants, Hoity Toity, Iron Will.</t>
      </text>
    </comment>
    <comment authorId="0" ref="T1">
      <text>
        <t xml:space="preserve">VA: Mr. Cake, Carrot Cake, Filthy Rich.</t>
      </text>
    </comment>
    <comment authorId="0" ref="U1">
      <text>
        <t xml:space="preserve">VA: Babs Seed.</t>
      </text>
    </comment>
    <comment authorId="0" ref="V1">
      <text>
        <t xml:space="preserve">VA: Rarity (singing).</t>
      </text>
    </comment>
    <comment authorId="0" ref="W1">
      <text>
        <t xml:space="preserve">The Creator of Friendship is Magic.</t>
      </text>
    </comment>
    <comment authorId="0" ref="X1">
      <text>
        <t xml:space="preserve">VA: Shining Armor.</t>
      </text>
    </comment>
    <comment authorId="0" ref="Y1">
      <text>
        <t xml:space="preserve">Writer.</t>
      </text>
    </comment>
    <comment authorId="0" ref="Z1">
      <text>
        <t xml:space="preserve">Character designer</t>
      </text>
    </comment>
    <comment authorId="0" ref="AA1">
      <text>
        <t xml:space="preserve">VA (Swedish Dub): Spitfire, Cheerilee, Spike, Rainbow Dash (Singing)</t>
      </text>
    </comment>
    <comment authorId="0" ref="AB1">
      <text>
        <t xml:space="preserve">VA: Gilda.</t>
      </text>
    </comment>
    <comment authorId="0" ref="AC1">
      <text>
        <t xml:space="preserve">VA: Soarin.</t>
      </text>
    </comment>
    <comment authorId="0" ref="AD1">
      <text>
        <t xml:space="preserve">Song Writer / Composer / Producer.</t>
      </text>
    </comment>
    <comment authorId="0" ref="AE1">
      <text>
        <t xml:space="preserve">Writer.</t>
      </text>
    </comment>
    <comment authorId="0" ref="AF1">
      <text>
        <t xml:space="preserve">VA: Fluttershy, Pinkie Pie.</t>
      </text>
    </comment>
    <comment authorId="0" ref="AG1">
      <text>
        <t xml:space="preserve">VA: Flutterguy.</t>
      </text>
    </comment>
    <comment authorId="0" ref="AH1">
      <text>
        <t xml:space="preserve">Writer &amp; Showrunner.</t>
      </text>
    </comment>
    <comment authorId="0" ref="AI1">
      <text>
        <t xml:space="preserve">VA: Princess Cadance.</t>
      </text>
    </comment>
    <comment authorId="0" ref="AJ1">
      <text>
        <t xml:space="preserve">VA: Flam / Caramel / Chief Thunderhooves</t>
      </text>
    </comment>
    <comment authorId="0" ref="AK1">
      <text>
        <t xml:space="preserve">VA: Spitfire.</t>
      </text>
    </comment>
    <comment authorId="0" ref="AL1">
      <text>
        <t xml:space="preserve">Storyboard Supervisor.</t>
      </text>
    </comment>
    <comment authorId="0" ref="AM1">
      <text>
        <t xml:space="preserve">Senior storyboarder.</t>
      </text>
    </comment>
    <comment authorId="0" ref="AN1">
      <text>
        <t xml:space="preserve">Writer.</t>
      </text>
    </comment>
    <comment authorId="0" ref="AO1">
      <text>
        <t xml:space="preserve">VA: Big Macintosh.</t>
      </text>
    </comment>
    <comment authorId="0" ref="AP1">
      <text>
        <t xml:space="preserve">VA: Gustav le Grand.</t>
      </text>
    </comment>
    <comment authorId="0" ref="AQ1">
      <text>
        <t xml:space="preserve">VA: Cheerilee, Princess Celestia.</t>
      </text>
    </comment>
    <comment authorId="0" ref="AR1">
      <text>
        <t xml:space="preserve">VA (German Dub): Discord.</t>
      </text>
    </comment>
    <comment authorId="0" ref="AS1">
      <text>
        <t xml:space="preserve">VA: Scootaloo.</t>
      </text>
    </comment>
    <comment authorId="0" ref="AT1">
      <text>
        <t xml:space="preserve">Writer.</t>
      </text>
    </comment>
    <comment authorId="0" ref="AU1">
      <text>
        <t xml:space="preserve">Writer.</t>
      </text>
    </comment>
    <comment authorId="0" ref="AV1">
      <text>
        <t xml:space="preserve">Comic book artist.</t>
      </text>
    </comment>
    <comment authorId="0" ref="AW1">
      <text>
        <t xml:space="preserve">Writer.</t>
      </text>
    </comment>
    <comment authorId="0" ref="AX1">
      <text>
        <t xml:space="preserve">Writer.</t>
      </text>
    </comment>
    <comment authorId="0" ref="AY1">
      <text>
        <t xml:space="preserve">VA: Twilight Sparkle (singing).</t>
      </text>
    </comment>
    <comment authorId="0" ref="AZ1">
      <text>
        <t xml:space="preserve">VA: Rarity, Luna, Nightmare Moon, Granny Smith.</t>
      </text>
    </comment>
    <comment authorId="0" ref="BA1">
      <text>
        <t xml:space="preserve">VA: Diamond Tiara.</t>
      </text>
    </comment>
    <comment authorId="0" ref="BB1">
      <text>
        <t xml:space="preserve">VA: Twilight Sparkle.</t>
      </text>
    </comment>
    <comment authorId="0" ref="BC1">
      <text>
        <t xml:space="preserve">Director.</t>
      </text>
    </comment>
    <comment authorId="0" ref="BD1">
      <text>
        <t xml:space="preserve">VA: Steven Magnet, Snips.</t>
      </text>
    </comment>
    <comment authorId="0" ref="BE1">
      <text>
        <t xml:space="preserve">VA: Prince Blueblood, Pony (Donut) Joe.</t>
      </text>
    </comment>
    <comment authorId="0" ref="BF1">
      <text>
        <t xml:space="preserve">VA: Flim.</t>
      </text>
    </comment>
    <comment authorId="0" ref="BG1">
      <text>
        <t xml:space="preserve">VA: Spike, Mayor Mare.</t>
      </text>
    </comment>
    <comment authorId="0" ref="BH1">
      <text>
        <t xml:space="preserve">Writer.</t>
      </text>
    </comment>
    <comment authorId="0" ref="BI1">
      <text>
        <t xml:space="preserve">Director.</t>
      </text>
    </comment>
    <comment authorId="0" ref="BJ1">
      <text>
        <t xml:space="preserve">The Creator of My Little Pony.</t>
      </text>
    </comment>
    <comment authorId="0" ref="BK1">
      <text>
        <t xml:space="preserve">VA: Daring Do, Twist.</t>
      </text>
    </comment>
    <comment authorId="0" ref="P3">
      <text>
        <t xml:space="preserve">Attended Saturday the 23rd and Sunday the 24th.</t>
      </text>
    </comment>
    <comment authorId="0" ref="Q3">
      <text>
        <t xml:space="preserve">Attended Saturday the 23rd and Sunday the 24th.</t>
      </text>
    </comment>
    <comment authorId="0" ref="R3">
      <text>
        <t xml:space="preserve">Attended Saturday the 23rd and Sunday the 24th.</t>
      </text>
    </comment>
    <comment authorId="0" ref="S3">
      <text>
        <t xml:space="preserve">Attended Saturday the 23rd and Sunday the 24th.</t>
      </text>
    </comment>
    <comment authorId="0" ref="X3">
      <text>
        <t xml:space="preserve">Attended Saturday the 23rd and Sunday the 24th.</t>
      </text>
    </comment>
    <comment authorId="0" ref="AB3">
      <text>
        <t xml:space="preserve">Attended Saturday the 23rd and Sunday the 24th.</t>
      </text>
    </comment>
    <comment authorId="0" ref="AD3">
      <text>
        <t xml:space="preserve">Attended Saturday the 23rd and Sunday the 24th.</t>
      </text>
    </comment>
    <comment authorId="0" ref="AF3">
      <text>
        <t xml:space="preserve">Attended Saturday the 23rd and Sunday the 24th.</t>
      </text>
    </comment>
    <comment authorId="0" ref="AN3">
      <text>
        <t xml:space="preserve">Attended Saturday the 23rd and Sunday the 24th.</t>
      </text>
    </comment>
    <comment authorId="0" ref="AO3">
      <text>
        <t xml:space="preserve">Attended Saturday the 23rd and Sunday the 24th.</t>
      </text>
    </comment>
    <comment authorId="0" ref="AP3">
      <text>
        <t xml:space="preserve">Attended Friday the 22nd and Saturday the 23rd.</t>
      </text>
    </comment>
    <comment authorId="0" ref="AQ3">
      <text>
        <t xml:space="preserve">Attended Saturday the 23rd and Sunday the 24th.</t>
      </text>
    </comment>
    <comment authorId="0" ref="AZ3">
      <text>
        <t xml:space="preserve">Attended Saturday the 23rd and Sunday the 24th.</t>
      </text>
    </comment>
    <comment authorId="0" ref="BB3">
      <text>
        <t xml:space="preserve">Attended Saturday the 23rd and Sunday the 24th.</t>
      </text>
    </comment>
    <comment authorId="0" ref="BE3">
      <text>
        <t xml:space="preserve">Attended Saturday the 23rd and Sunday the 24th.</t>
      </text>
    </comment>
    <comment authorId="0" ref="BF3">
      <text>
        <t xml:space="preserve">Attended Saturday the 23rd and Sunday the 24th.</t>
      </text>
    </comment>
    <comment authorId="0" ref="BG3">
      <text>
        <t xml:space="preserve">Attended Saturday the 23rd and Sunday the 24th.</t>
      </text>
    </comment>
    <comment authorId="0" ref="BD9">
      <text>
        <t xml:space="preserve">Withdrew due to Emmys.</t>
      </text>
    </comment>
    <comment authorId="0" ref="C10">
      <text>
        <t xml:space="preserve">Performed Friday, June 28th with her 
band Hey Ocean!
</t>
      </text>
    </comment>
    <comment authorId="0" ref="AZ11">
      <text>
        <t xml:space="preserve">Withdrew due to illness.</t>
      </text>
    </comment>
    <comment authorId="0" ref="AH20">
      <text>
        <t xml:space="preserve">Via Skype.</t>
      </text>
    </comment>
    <comment authorId="0" ref="AW20">
      <text>
        <t xml:space="preserve">Via Skype.</t>
      </text>
    </comment>
  </commentList>
</comments>
</file>

<file path=xl/comments8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Musical band.</t>
      </text>
    </comment>
    <comment authorId="0" ref="C1">
      <text>
        <t xml:space="preserve">Podcaster.</t>
      </text>
    </comment>
    <comment authorId="0" ref="D1">
      <text>
        <t xml:space="preserve">Musician.</t>
      </text>
    </comment>
    <comment authorId="0" ref="E1">
      <text>
        <t xml:space="preserve">Musician.</t>
      </text>
    </comment>
    <comment authorId="0" ref="F1">
      <text>
        <t xml:space="preserve">Musician.</t>
      </text>
    </comment>
    <comment authorId="0" ref="G1">
      <text>
        <t xml:space="preserve">Musician.</t>
      </text>
    </comment>
    <comment authorId="0" ref="I1">
      <text>
        <t xml:space="preserve">Fan animation group.</t>
      </text>
    </comment>
    <comment authorId="0" ref="K1">
      <text>
        <t xml:space="preserve">Singer and voice artist.</t>
      </text>
    </comment>
    <comment authorId="0" ref="L1">
      <text>
        <t xml:space="preserve">Musician.</t>
      </text>
    </comment>
    <comment authorId="0" ref="M1">
      <text>
        <t xml:space="preserve">Troublemaker. Blame him.</t>
      </text>
    </comment>
    <comment authorId="0" ref="O1">
      <text>
        <t xml:space="preserve">Animator.</t>
      </text>
    </comment>
    <comment authorId="0" ref="Q1">
      <text>
        <t xml:space="preserve">Laser artist.</t>
      </text>
    </comment>
    <comment authorId="0" ref="R1">
      <text>
        <t xml:space="preserve">Musician.</t>
      </text>
    </comment>
    <comment authorId="0" ref="T1">
      <text>
        <t xml:space="preserve">Musician. AKA Eurobeat Brony.</t>
      </text>
    </comment>
    <comment authorId="0" ref="U1">
      <text>
        <t xml:space="preserve">Artist.</t>
      </text>
    </comment>
    <comment authorId="0" ref="V1">
      <text>
        <t xml:space="preserve">Musical band.</t>
      </text>
    </comment>
    <comment authorId="0" ref="X1">
      <text>
        <t xml:space="preserve">Fanfic writer.</t>
      </text>
    </comment>
    <comment authorId="0" ref="Y1">
      <text>
        <t xml:space="preserve">Musician.</t>
      </text>
    </comment>
    <comment authorId="0" ref="AA1">
      <text>
        <t xml:space="preserve">Artist.</t>
      </text>
    </comment>
    <comment authorId="0" ref="AB1">
      <text>
        <t xml:space="preserve">Visual novel development team.</t>
      </text>
    </comment>
    <comment authorId="0" ref="AC1">
      <text>
        <t xml:space="preserve">Musician.</t>
      </text>
    </comment>
    <comment authorId="0" ref="AD1">
      <text>
        <t xml:space="preserve">Military brony admin.</t>
      </text>
    </comment>
    <comment authorId="0" ref="AE1">
      <text>
        <t xml:space="preserve">Visual artist.</t>
      </text>
    </comment>
  </commentList>
</comments>
</file>

<file path=xl/comments9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Musician.</t>
      </text>
    </comment>
    <comment authorId="0" ref="C1">
      <text>
        <t xml:space="preserve">Artist.</t>
      </text>
    </comment>
    <comment authorId="0" ref="D1">
      <text>
        <t xml:space="preserve">Manga artist.</t>
      </text>
    </comment>
    <comment authorId="0" ref="E1">
      <text>
        <t xml:space="preserve">Plushie creator.</t>
      </text>
    </comment>
    <comment authorId="0" ref="F1">
      <text>
        <t xml:space="preserve">Artist.</t>
      </text>
    </comment>
    <comment authorId="0" ref="G1">
      <text>
        <t xml:space="preserve">Musician.</t>
      </text>
    </comment>
    <comment authorId="0" ref="H1">
      <text>
        <t xml:space="preserve">Artist.</t>
      </text>
    </comment>
    <comment authorId="0" ref="I1">
      <text>
        <t xml:space="preserve">Musician.</t>
      </text>
    </comment>
    <comment authorId="0" ref="J1">
      <text>
        <t xml:space="preserve">Musician.</t>
      </text>
    </comment>
    <comment authorId="0" ref="K1">
      <text>
        <t xml:space="preserve">Artist.</t>
      </text>
    </comment>
    <comment authorId="0" ref="L1">
      <text>
        <t xml:space="preserve">Electronic music producer.</t>
      </text>
    </comment>
    <comment authorId="0" ref="M1">
      <text>
        <t xml:space="preserve">Cartoonist.</t>
      </text>
    </comment>
    <comment authorId="0" ref="N1">
      <text>
        <t xml:space="preserve">Musician.</t>
      </text>
    </comment>
    <comment authorId="0" ref="O1">
      <text>
        <t xml:space="preserve">Musician.</t>
      </text>
    </comment>
    <comment authorId="0" ref="P1">
      <text>
        <t xml:space="preserve">Musician.</t>
      </text>
    </comment>
    <comment authorId="0" ref="Q1">
      <text>
        <t xml:space="preserve">Artist.</t>
      </text>
    </comment>
    <comment authorId="0" ref="R1">
      <text>
        <t xml:space="preserve">Electronic music creator.</t>
      </text>
    </comment>
    <comment authorId="0" ref="S1">
      <text>
        <t xml:space="preserve">Musician.</t>
      </text>
    </comment>
    <comment authorId="0" ref="T1">
      <text>
        <t xml:space="preserve">Artist.</t>
      </text>
    </comment>
    <comment authorId="0" ref="U1">
      <text>
        <t xml:space="preserve">Professional cartoonist and storyboard artist.</t>
      </text>
    </comment>
    <comment authorId="0" ref="V1">
      <text>
        <t xml:space="preserve">EDM Producer.</t>
      </text>
    </comment>
    <comment authorId="0" ref="W1">
      <text>
        <t xml:space="preserve">Musician.</t>
      </text>
    </comment>
    <comment authorId="0" ref="X1">
      <text>
        <t xml:space="preserve">Musician.</t>
      </text>
    </comment>
    <comment authorId="0" ref="Y1">
      <text>
        <t xml:space="preserve">DJ (Celestia Radio).</t>
      </text>
    </comment>
    <comment authorId="0" ref="Z1">
      <text>
        <t xml:space="preserve">Illustrator and graphic novelist.</t>
      </text>
    </comment>
    <comment authorId="0" ref="AA1">
      <text>
        <t xml:space="preserve">Musician.</t>
      </text>
    </comment>
    <comment authorId="0" ref="AB1">
      <text>
        <t xml:space="preserve">Artist.</t>
      </text>
    </comment>
    <comment authorId="0" ref="AC1">
      <text>
        <t xml:space="preserve">Artist.</t>
      </text>
    </comment>
    <comment authorId="0" ref="AD1">
      <text>
        <t xml:space="preserve">Musician.</t>
      </text>
    </comment>
    <comment authorId="0" ref="AE1">
      <text>
        <t xml:space="preserve">Founder of the original My Little Pony Fair.</t>
      </text>
    </comment>
    <comment authorId="0" ref="AF1">
      <text>
        <t xml:space="preserve">Vector artist.</t>
      </text>
    </comment>
    <comment authorId="0" ref="AG1">
      <text>
        <t xml:space="preserve">Musician.</t>
      </text>
    </comment>
    <comment authorId="0" ref="AH1">
      <text>
        <t xml:space="preserve">Musician.</t>
      </text>
    </comment>
    <comment authorId="0" ref="AI1">
      <text>
        <t xml:space="preserve">Bronies for Good founding member.</t>
      </text>
    </comment>
    <comment authorId="0" ref="AJ1">
      <text>
        <t xml:space="preserve">Podcast host (Pegasisters Live!, Everfree Network).</t>
      </text>
    </comment>
    <comment authorId="0" ref="AK1">
      <text>
        <t xml:space="preserve">Artist.</t>
      </text>
    </comment>
    <comment authorId="0" ref="AL1">
      <text>
        <t xml:space="preserve">Musician.</t>
      </text>
    </comment>
    <comment authorId="0" ref="AM1">
      <text>
        <t xml:space="preserve">Costumer and entertainer.</t>
      </text>
    </comment>
    <comment authorId="0" ref="AN1">
      <text>
        <t xml:space="preserve">Musician.</t>
      </text>
    </comment>
    <comment authorId="0" ref="AO1">
      <text>
        <t xml:space="preserve">Artist.</t>
      </text>
    </comment>
    <comment authorId="0" ref="AP1">
      <text>
        <t xml:space="preserve">Musician.</t>
      </text>
    </comment>
    <comment authorId="0" ref="AQ1">
      <text>
        <t xml:space="preserve">Musician.</t>
      </text>
    </comment>
    <comment authorId="0" ref="AR1">
      <text>
        <t xml:space="preserve">Artist.</t>
      </text>
    </comment>
    <comment authorId="0" ref="AS1">
      <text>
        <t xml:space="preserve">Researcher.</t>
      </text>
    </comment>
    <comment authorId="0" ref="AT1">
      <text>
        <t xml:space="preserve">Musician.</t>
      </text>
    </comment>
    <comment authorId="0" ref="AU1">
      <text>
        <t xml:space="preserve">Acoustic musician.</t>
      </text>
    </comment>
    <comment authorId="0" ref="AV1">
      <text>
        <t xml:space="preserve">Musician.</t>
      </text>
    </comment>
    <comment authorId="0" ref="AW1">
      <text>
        <t xml:space="preserve">Musician.</t>
      </text>
    </comment>
    <comment authorId="0" ref="AX1">
      <text>
        <t xml:space="preserve">EFN commentator and reviewer.</t>
      </text>
    </comment>
    <comment authorId="0" ref="AY1">
      <text>
        <t xml:space="preserve">Creator of "Bronies React".</t>
      </text>
    </comment>
    <comment authorId="0" ref="AZ1">
      <text>
        <t xml:space="preserve">Artist.</t>
      </text>
    </comment>
    <comment authorId="0" ref="BA1">
      <text>
        <t xml:space="preserve">Independent film and animation student.</t>
      </text>
    </comment>
    <comment authorId="0" ref="BB1">
      <text>
        <t xml:space="preserve">Musician.</t>
      </text>
    </comment>
    <comment authorId="0" ref="BC1">
      <text>
        <t xml:space="preserve">Musician.</t>
      </text>
    </comment>
    <comment authorId="0" ref="BD1">
      <text>
        <t xml:space="preserve">DJ.</t>
      </text>
    </comment>
    <comment authorId="0" ref="BE1">
      <text>
        <t xml:space="preserve">Voice actor.</t>
      </text>
    </comment>
    <comment authorId="0" ref="BF1">
      <text>
        <t xml:space="preserve">YouTube personality.</t>
      </text>
    </comment>
    <comment authorId="0" ref="BG1">
      <text>
        <t xml:space="preserve">Musician.</t>
      </text>
    </comment>
    <comment authorId="0" ref="BH1">
      <text>
        <t xml:space="preserve">Video game music / pony lyrics mashup artist.</t>
      </text>
    </comment>
    <comment authorId="0" ref="BI1">
      <text>
        <t xml:space="preserve">Musician.</t>
      </text>
    </comment>
    <comment authorId="0" ref="BJ1">
      <text>
        <t xml:space="preserve">Podcast host.</t>
      </text>
    </comment>
    <comment authorId="0" ref="BK1">
      <text>
        <t xml:space="preserve">Artist.</t>
      </text>
    </comment>
    <comment authorId="0" ref="BL1">
      <text>
        <t xml:space="preserve">Artist.</t>
      </text>
    </comment>
    <comment authorId="0" ref="BM1">
      <text>
        <t xml:space="preserve">Artist.</t>
      </text>
    </comment>
    <comment authorId="0" ref="BN1">
      <text>
        <t xml:space="preserve">Musician.</t>
      </text>
    </comment>
    <comment authorId="0" ref="BO1">
      <text>
        <t xml:space="preserve">Artist.</t>
      </text>
    </comment>
    <comment authorId="0" ref="BP1">
      <text>
        <t xml:space="preserve">Musician.</t>
      </text>
    </comment>
    <comment authorId="0" ref="BQ1">
      <text>
        <t xml:space="preserve">Musician.</t>
      </text>
    </comment>
    <comment authorId="0" ref="BR1">
      <text>
        <t xml:space="preserve">Pony Creator creator.</t>
      </text>
    </comment>
  </commentList>
</comments>
</file>

<file path=xl/comments10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@sparklepeeppony has created a handy graphical representation of these locations in Google Maps.</t>
      </text>
    </comment>
    <comment authorId="0" ref="C1">
      <text>
        <t xml:space="preserve">Link goes to a Google Calendar with all confirmed dates added.</t>
      </text>
    </comment>
    <comment authorId="0" ref="E10">
      <text>
        <t xml:space="preserve">492 checked-in visitors, 12 press passes, and an unspecified number of parents attending with children.</t>
      </text>
    </comment>
    <comment authorId="0" ref="G10">
      <text>
        <t xml:space="preserve">Highest bid was on a Luna statue, 1650 €.</t>
      </text>
    </comment>
  </commentList>
</comments>
</file>

<file path=xl/comments1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@sparklepeeppony has created a handy graphical representation of these locations in Google Maps.</t>
      </text>
    </comment>
    <comment authorId="0" ref="C1">
      <text>
        <t xml:space="preserve">Link goes to a Google Calendar with all confirmed dates added.</t>
      </text>
    </comment>
    <comment authorId="0" ref="F1">
      <text>
        <t xml:space="preserve">Link goes to a curated and subscribable list of these Twitter accounts.</t>
      </text>
    </comment>
    <comment authorId="0" ref="A2">
      <text>
        <t xml:space="preserve">The separate fundraising campaigns for a 2013 and 2014 convention were both unsuccessful.
</t>
      </text>
    </comment>
    <comment authorId="0" ref="A3">
      <text>
        <t xml:space="preserve">Initially announced for September 20-22, 2013. Hiatus announced later, with a possible return in 2014; though no formal announcements have been made, individuals with knowledge of the con have confirmed that no further Midwestria conventions are in the works.</t>
      </text>
    </comment>
    <comment authorId="0" ref="G3">
      <text>
        <t xml:space="preserve">Domain appears to be down.</t>
      </text>
    </comment>
    <comment authorId="0" ref="A4">
      <text>
        <t xml:space="preserve">Cancelled July 11th due to venue issues.</t>
      </text>
    </comment>
    <comment authorId="0" ref="A5">
      <text>
        <t xml:space="preserve">Though a "minicon", the fact it's spread over multiple days and has a venue would qualify it for inclusion here, in the judgement of the list curator.
Was postponed 4/5/2013 due to their venue falling through; if they make other arrangements, it'll be returned to the main list.
http://bronybeachminicon.com/</t>
      </text>
    </comment>
    <comment authorId="0" ref="A6">
      <text>
        <t xml:space="preserve">Cancelled late March, 2013.</t>
      </text>
    </comment>
    <comment authorId="0" ref="A7">
      <text>
        <t xml:space="preserve">Cancelled November 16th, 2012. Details on website.</t>
      </text>
    </comment>
    <comment authorId="0" ref="A8">
      <text>
        <t xml:space="preserve">Cancelled November 16th, 2012. Details on website.</t>
      </text>
    </comment>
    <comment authorId="0" ref="A9">
      <text>
        <t xml:space="preserve">Cancelled February 8th, 2013. See site for more details: http://calgarybronyexhibition.blogspot.ca/2013/02/big-news-everypony.html</t>
      </text>
    </comment>
    <comment authorId="0" ref="A10">
      <text>
        <t xml:space="preserve">Under new management. Kickstarter was attempted to raise funds for a 2013 convention, but was ultimately unsuccessful.</t>
      </text>
    </comment>
    <comment authorId="0" ref="A11">
      <text>
        <t xml:space="preserve">There is apparently talk of a potential merger between the two announced Colorado cons. No details yet available.
Update (May 8th): since the Facebook page no longer exists, it can be assumed this con either merged with another Colorado con or was cancelled outright.</t>
      </text>
    </comment>
  </commentList>
</comments>
</file>

<file path=xl/comments1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Aside from directly from the cons themselves, the information in the preceding lists is drawn from the following:</t>
      </text>
    </comment>
  </commentList>
</comments>
</file>

<file path=xl/sharedStrings.xml><?xml version="1.0" encoding="utf-8"?>
<sst xmlns="http://schemas.openxmlformats.org/spreadsheetml/2006/main" count="1429" uniqueCount="748">
  <si>
    <t>Home Currency:</t>
  </si>
  <si>
    <t>USD</t>
  </si>
  <si>
    <t>Convention</t>
  </si>
  <si>
    <t>Site</t>
  </si>
  <si>
    <t>Start Date</t>
  </si>
  <si>
    <t>End Date</t>
  </si>
  <si>
    <t>Attendees</t>
  </si>
  <si>
    <t>Attendee Policies</t>
  </si>
  <si>
    <t>Charity / Beneficiary</t>
  </si>
  <si>
    <t>Money for Charity</t>
  </si>
  <si>
    <t>Facebook</t>
  </si>
  <si>
    <t>Tumblr</t>
  </si>
  <si>
    <t>ponycon.jp</t>
  </si>
  <si>
    <t>(single day)</t>
  </si>
  <si>
    <t>ganime.ca</t>
  </si>
  <si>
    <t>ponyconau.com</t>
  </si>
  <si>
    <t>1 Feb 2014</t>
  </si>
  <si>
    <t>brony-fest.com</t>
  </si>
  <si>
    <t>Local hospital's fund for children / MS charity</t>
  </si>
  <si>
    <t>babscon.com</t>
  </si>
  <si>
    <t>*Multiple (See Notes)</t>
  </si>
  <si>
    <t>rubronycon.ru</t>
  </si>
  <si>
    <t>Moscow, Russia</t>
  </si>
  <si>
    <t>Ohji, Japan</t>
  </si>
  <si>
    <t>Tohoku Disaster Relief Fund (49000 YEN)</t>
  </si>
  <si>
    <t>mwbfkc.net</t>
  </si>
  <si>
    <t>Child's Play at Children's Mercy Hospital</t>
  </si>
  <si>
    <t>bigappleponycon.com</t>
  </si>
  <si>
    <t>6 Jun 2014</t>
  </si>
  <si>
    <t>N/A</t>
  </si>
  <si>
    <t>mlp-msp.com</t>
  </si>
  <si>
    <t>Give Us Wings</t>
  </si>
  <si>
    <t>derpystyle.wix.com/fluttycon</t>
  </si>
  <si>
    <t>Mexico City, Mexico</t>
  </si>
  <si>
    <t xml:space="preserve">
</t>
  </si>
  <si>
    <t>trotcon.com</t>
  </si>
  <si>
    <t>KaBOOM!</t>
  </si>
  <si>
    <t>canterlotuniversity.com</t>
  </si>
  <si>
    <t>crystalfair.fi</t>
  </si>
  <si>
    <t>everfreenw.com</t>
  </si>
  <si>
    <t>Seattle Children's Hospital</t>
  </si>
  <si>
    <t>bronyexpo.com</t>
  </si>
  <si>
    <t>Crystal Kids Youth Centre</t>
  </si>
  <si>
    <t>fiestaequestria.com</t>
  </si>
  <si>
    <t>mylittleponycon.com</t>
  </si>
  <si>
    <t>Nashville, TN, USA</t>
  </si>
  <si>
    <t>bronycon.org</t>
  </si>
  <si>
    <t>con.sibbrony.ru</t>
  </si>
  <si>
    <t>Akademgorodok (Novosibirsk), Siberia, Russia</t>
  </si>
  <si>
    <t>galacon.eu</t>
  </si>
  <si>
    <t>1400+</t>
  </si>
  <si>
    <t>Bronies For Good</t>
  </si>
  <si>
    <t>Upcoming:</t>
  </si>
  <si>
    <t>crystalmtponycon.com</t>
  </si>
  <si>
    <t>grandgallopingbronygalacon.com</t>
  </si>
  <si>
    <t>All Children's Hospital (Children's Miracle Network)</t>
  </si>
  <si>
    <t>AtlantiQuestria</t>
  </si>
  <si>
    <t>atlantiquestria.org</t>
  </si>
  <si>
    <t>Halifax, Nova Scotia, Canada</t>
  </si>
  <si>
    <t>22 Aug 2014</t>
  </si>
  <si>
    <t>bronycan.ca</t>
  </si>
  <si>
    <t>buckcon.org</t>
  </si>
  <si>
    <t>czequestria.cz</t>
  </si>
  <si>
    <t>Prague, Czech Republic</t>
  </si>
  <si>
    <t>bronyfanfair.com</t>
  </si>
  <si>
    <t>derpycons.com</t>
  </si>
  <si>
    <t>sydneigh.com.au</t>
  </si>
  <si>
    <t>27 Sep 2014</t>
  </si>
  <si>
    <t>bronyscot.org.uk</t>
  </si>
  <si>
    <t>ukponycon.co.uk</t>
  </si>
  <si>
    <t>Riding for the Disabled Association</t>
  </si>
  <si>
    <t>crystalfairstl.com</t>
  </si>
  <si>
    <t>nightmarenights.net</t>
  </si>
  <si>
    <t>rotlcon.com</t>
  </si>
  <si>
    <t>31 Oct 2014</t>
  </si>
  <si>
    <t>ponyvilleciderfest.com</t>
  </si>
  <si>
    <t>drawncon.com</t>
  </si>
  <si>
    <t>Fillypiñana</t>
  </si>
  <si>
    <t>derpycon.com</t>
  </si>
  <si>
    <t>STAMP Out Bullying</t>
  </si>
  <si>
    <t>2014 Announced</t>
  </si>
  <si>
    <t>cloudsdalecongress.com</t>
  </si>
  <si>
    <t>Washington, D.C., USA</t>
  </si>
  <si>
    <t>Fall 2014</t>
  </si>
  <si>
    <t>canterlotconvention.com</t>
  </si>
  <si>
    <t>Toronto, Ontario, Canada</t>
  </si>
  <si>
    <t>LunaFest</t>
  </si>
  <si>
    <t>Hamburg, Germany</t>
  </si>
  <si>
    <t>2015 Announced</t>
  </si>
  <si>
    <t>hwcon.nl</t>
  </si>
  <si>
    <t>Surfers Paradise, Australia</t>
  </si>
  <si>
    <t>21 Feb 2015</t>
  </si>
  <si>
    <t>3 Apr 2015</t>
  </si>
  <si>
    <t>brony-fair.de</t>
  </si>
  <si>
    <t>Germany</t>
  </si>
  <si>
    <t>BronyCon 2015</t>
  </si>
  <si>
    <t>7 Aug 2015</t>
  </si>
  <si>
    <t>southernskiespj.com</t>
  </si>
  <si>
    <t>March 2015</t>
  </si>
  <si>
    <t>BronyDays 2015</t>
  </si>
  <si>
    <t>bronydays.fr</t>
  </si>
  <si>
    <t>Paris, France</t>
  </si>
  <si>
    <t>eu-m.ch</t>
  </si>
  <si>
    <t>Lucerne, Switzerland</t>
  </si>
  <si>
    <t>PonyCon 2015</t>
  </si>
  <si>
    <t>NY/NJ?, USA</t>
  </si>
  <si>
    <t>Summer Wrap Up Festival</t>
  </si>
  <si>
    <t>Madrid, Spain</t>
  </si>
  <si>
    <t>TrotCon 2015</t>
  </si>
  <si>
    <t>trotcon.net</t>
  </si>
  <si>
    <t>Columbus, OH, USA</t>
  </si>
  <si>
    <t>2015</t>
  </si>
  <si>
    <t>2016 Announced</t>
  </si>
  <si>
    <t>BronyCon 2016</t>
  </si>
  <si>
    <t>2016</t>
  </si>
  <si>
    <t>(Possible) Future Cons</t>
  </si>
  <si>
    <t>BronyExpo 2015?</t>
  </si>
  <si>
    <t>Canada</t>
  </si>
  <si>
    <t>[Unnamed San Diego Con]</t>
  </si>
  <si>
    <t>San Diego, CA, USA</t>
  </si>
  <si>
    <t>HarmonyCon</t>
  </si>
  <si>
    <t>Los Angeles, CA, USA</t>
  </si>
  <si>
    <t>Lartarus 20??</t>
  </si>
  <si>
    <t>M.A. Larson's House, CA, USA</t>
  </si>
  <si>
    <t>20??</t>
  </si>
  <si>
    <t>cloudsdalecon.weebly.com</t>
  </si>
  <si>
    <t>Colorado, USA</t>
  </si>
  <si>
    <t>???</t>
  </si>
  <si>
    <t>Last Updated:</t>
  </si>
  <si>
    <t>August 15th, 2014</t>
  </si>
  <si>
    <t>Name</t>
  </si>
  <si>
    <t>Sabrina "Sibsy" Alberghetti</t>
  </si>
  <si>
    <t>Ted Anderson</t>
  </si>
  <si>
    <t>Steffan Andrews</t>
  </si>
  <si>
    <t>Ashleigh Ball</t>
  </si>
  <si>
    <t>Kathleen Barr</t>
  </si>
  <si>
    <t>Julie Basecqz</t>
  </si>
  <si>
    <t>Georgia Ball</t>
  </si>
  <si>
    <t>G.M. Berrow</t>
  </si>
  <si>
    <t>Jenn Blake</t>
  </si>
  <si>
    <t>Heather Breckel</t>
  </si>
  <si>
    <t>Stephanie Buscema</t>
  </si>
  <si>
    <t>Zander Cannon</t>
  </si>
  <si>
    <t>Carla Castañeda</t>
  </si>
  <si>
    <t>Garry Chalk</t>
  </si>
  <si>
    <t>Shannon Chan-Kent</t>
  </si>
  <si>
    <t>Katie Cook</t>
  </si>
  <si>
    <t>Claire Corlett</t>
  </si>
  <si>
    <t>Ian James Corlett</t>
  </si>
  <si>
    <t>Elsa Covián</t>
  </si>
  <si>
    <t>Richard Ian Cox</t>
  </si>
  <si>
    <t>Michelle Creber</t>
  </si>
  <si>
    <t>Brenda Crichlow</t>
  </si>
  <si>
    <t>Michael Daingerfield</t>
  </si>
  <si>
    <t>Rebecca Dart</t>
  </si>
  <si>
    <t>Michael Dobson</t>
  </si>
  <si>
    <t>John de Lancie</t>
  </si>
  <si>
    <t>Trevor Devall</t>
  </si>
  <si>
    <t>Brian Drummond</t>
  </si>
  <si>
    <t>Brynna Drummond</t>
  </si>
  <si>
    <t>Kazumi Evans</t>
  </si>
  <si>
    <t>Lauren Faust</t>
  </si>
  <si>
    <t>Tony Fleecs</t>
  </si>
  <si>
    <t>Andrew Francis</t>
  </si>
  <si>
    <t>Charlotte Fullerton</t>
  </si>
  <si>
    <t>Nicole Gauss</t>
  </si>
  <si>
    <t>Melissa Gedeón</t>
  </si>
  <si>
    <t>Josh Haber</t>
  </si>
  <si>
    <t>Anneli Heed</t>
  </si>
  <si>
    <t>Maryke Hendrikse</t>
  </si>
  <si>
    <t>Matt Hill</t>
  </si>
  <si>
    <t>Daniel Ingram</t>
  </si>
  <si>
    <t>Terry Klassen</t>
  </si>
  <si>
    <t>Liz Knight</t>
  </si>
  <si>
    <t>Kora Kosicka</t>
  </si>
  <si>
    <t>M.A. Larson</t>
  </si>
  <si>
    <t>Christopher Leinonen</t>
  </si>
  <si>
    <t>Natasha Levinger</t>
  </si>
  <si>
    <t>Andrea Libman</t>
  </si>
  <si>
    <t>Steph Mahoney</t>
  </si>
  <si>
    <t>Blu Mankuma</t>
  </si>
  <si>
    <t>Meghan McCarthy</t>
  </si>
  <si>
    <t>Britt McKillip</t>
  </si>
  <si>
    <t>Scott McNeil</t>
  </si>
  <si>
    <t>Amy Mebberson</t>
  </si>
  <si>
    <t>Kelly Metzger</t>
  </si>
  <si>
    <t>Julia Meynen</t>
  </si>
  <si>
    <t>"Big" Jim Miller</t>
  </si>
  <si>
    <t>Raven Molisee</t>
  </si>
  <si>
    <t>Cindy Morrow</t>
  </si>
  <si>
    <t>Claudia Motta</t>
  </si>
  <si>
    <t>Peter New</t>
  </si>
  <si>
    <t>Ingrid Nilson</t>
  </si>
  <si>
    <t>Heather Nuhfer</t>
  </si>
  <si>
    <t>Mark Oliver</t>
  </si>
  <si>
    <t>Nicole Oliver</t>
  </si>
  <si>
    <t>Madeleine Peters</t>
  </si>
  <si>
    <t>Dave Polsky</t>
  </si>
  <si>
    <t>Corey Powell</t>
  </si>
  <si>
    <t>Andy Price</t>
  </si>
  <si>
    <t>Michael Pan</t>
  </si>
  <si>
    <t>Amy Keating Rogers</t>
  </si>
  <si>
    <t>Analiz Sánchez</t>
  </si>
  <si>
    <t>Chris Savino</t>
  </si>
  <si>
    <t>Rebecca Shoichet</t>
  </si>
  <si>
    <t>Tabitha 
St. Germain</t>
  </si>
  <si>
    <t>Chantal Strand</t>
  </si>
  <si>
    <t>Tara Strong</t>
  </si>
  <si>
    <t>Jayson Thiessen</t>
  </si>
  <si>
    <t>Lee Tockar</t>
  </si>
  <si>
    <t>Vincent Tong</t>
  </si>
  <si>
    <t>Maggie Vera</t>
  </si>
  <si>
    <t>Sam Vincent</t>
  </si>
  <si>
    <t>Cathy Weseluck</t>
  </si>
  <si>
    <t xml:space="preserve">Jennifer Weiß </t>
  </si>
  <si>
    <t>Merriwether Williams</t>
  </si>
  <si>
    <t>James Wooton</t>
  </si>
  <si>
    <t>Bonnie Zacherle</t>
  </si>
  <si>
    <t>Tom Zahler</t>
  </si>
  <si>
    <t>Chiara Zanni</t>
  </si>
  <si>
    <t>JapanPonycon 2014 New Year (Jan 5th)</t>
  </si>
  <si>
    <t>A* (Via skype)</t>
  </si>
  <si>
    <t>Ponycon AU 2014 (Feb 1st-2nd)</t>
  </si>
  <si>
    <t>A</t>
  </si>
  <si>
    <t>Animation Celebration (Brony-Fest) 2014 (Mar 28th-30th)</t>
  </si>
  <si>
    <t>W</t>
  </si>
  <si>
    <t>Bay Area Brony Spectacular (BABSCon) (Apr 18th-20th)</t>
  </si>
  <si>
    <t>A* (Via Skype)</t>
  </si>
  <si>
    <t>JapanPonycon 2014 Spring (May 4th)</t>
  </si>
  <si>
    <t>A* (Skype)</t>
  </si>
  <si>
    <t>Midwest Brony Fest (May 23rd-25th)</t>
  </si>
  <si>
    <t>Big Apple Ponycon (Jun 6th-7th)</t>
  </si>
  <si>
    <t>MLP-MSP (Jun 6th-8th)</t>
  </si>
  <si>
    <t>Flutty Con (Jun 14th)</t>
  </si>
  <si>
    <t>TrotCon (Jun 20th-22nd)</t>
  </si>
  <si>
    <t>Crystal Fair (Jul 4th-6th)</t>
  </si>
  <si>
    <t>Everfree Northwest 2014 (Jul 4th-6th)</t>
  </si>
  <si>
    <t>Brony Expo (Jul 5th-6th)</t>
  </si>
  <si>
    <t>Fiesta Equestria (July 11th-13th)</t>
  </si>
  <si>
    <t>My Little Pony Fair (July 12th-13th)</t>
  </si>
  <si>
    <t>BronyCon 2014 (Aug 1st-3rd)</t>
  </si>
  <si>
    <t>GalaCon 2014 (Aug 2nd-3rd)</t>
  </si>
  <si>
    <t>The Grand Brony Gala 2 (Aug 15th-17th)</t>
  </si>
  <si>
    <t>BronyCAN 2014 (Aug 22nd-24th)</t>
  </si>
  <si>
    <t>BUCK 2014 (Aug 22nd-24th)</t>
  </si>
  <si>
    <t>Brony Fan Fair 2014 (Sep 5th-7th)</t>
  </si>
  <si>
    <t>DerpyCon South (Sep 20th-21st)</t>
  </si>
  <si>
    <t>Sydneigh 2014 (Sep 27th-28th)</t>
  </si>
  <si>
    <t>St. Louis Crystal Fair 2014 (Oct 17th-19th)</t>
  </si>
  <si>
    <t>Nightmare Nights 2014 (Oct 24th-26th)</t>
  </si>
  <si>
    <t>Ponyville Ciderfest (Nov 7th-9th)</t>
  </si>
  <si>
    <t>Total Appearances:</t>
  </si>
  <si>
    <t>A = Attending</t>
  </si>
  <si>
    <t>W = Withdrew / Cancelled</t>
  </si>
  <si>
    <t>Last Updated: July 24th 2014</t>
  </si>
  <si>
    <t>OVERALL TOTALS</t>
  </si>
  <si>
    <t>TABLE LAST UPDATED: October 23rd, 2018</t>
  </si>
  <si>
    <t xml:space="preserve"> ESTIMATED GRAND TOTAL*:</t>
  </si>
  <si>
    <t>* SCROLL OVER FOR IMPORTANT NOTES *</t>
  </si>
  <si>
    <t>Conventions</t>
  </si>
  <si>
    <t>$125k+ reported to list maintainer</t>
  </si>
  <si>
    <t>$240k+ reported to list maintainer</t>
  </si>
  <si>
    <t>Independent &amp; Miscellaneous Efforts</t>
  </si>
  <si>
    <t>YEAR / EVENT</t>
  </si>
  <si>
    <t>RAISED</t>
  </si>
  <si>
    <t>CHARITY / BENEFICIARY</t>
  </si>
  <si>
    <t>NOTE</t>
  </si>
  <si>
    <t>CONVENTIONS</t>
  </si>
  <si>
    <t>multiple (see breakdow using link to the right)</t>
  </si>
  <si>
    <t>THE OLD GREY MARE SHOW</t>
  </si>
  <si>
    <t>INDEPENDENT &amp; MISCELLANEOUS EFFORTS</t>
  </si>
  <si>
    <t>BRONY THANK YOU FUND</t>
  </si>
  <si>
    <t>7/14/2016 Program Grant</t>
  </si>
  <si>
    <t>The Jimmy Fund (Dana-Farber Cancer Institute)</t>
  </si>
  <si>
    <t>5/31/2016 Program Grant</t>
  </si>
  <si>
    <t>Episode 13</t>
  </si>
  <si>
    <t>David Suzuki Foundation</t>
  </si>
  <si>
    <t>BronyCon 2015 Table</t>
  </si>
  <si>
    <t xml:space="preserve">Everfree Northwest 2015 Table
</t>
  </si>
  <si>
    <t>DUSTYKATT'S 'STAY BRONY, MY FRIENDS' MANLY CHALLENGES</t>
  </si>
  <si>
    <t>The Humane Society</t>
  </si>
  <si>
    <t>Special Olympics</t>
  </si>
  <si>
    <t>CAD?</t>
  </si>
  <si>
    <t>includes fund matching</t>
  </si>
  <si>
    <t>(see entry under 2015 Conventions above)</t>
  </si>
  <si>
    <t>Episode 12</t>
  </si>
  <si>
    <t>multiple (see below)</t>
  </si>
  <si>
    <t>Yerba Buena Center for the Arts</t>
  </si>
  <si>
    <t>Wildlife Learning Center</t>
  </si>
  <si>
    <t>Episode 11</t>
  </si>
  <si>
    <t>Lucie's Place</t>
  </si>
  <si>
    <t>- main auction</t>
  </si>
  <si>
    <t>San Francisco Suicide Prevention &amp; New Horizon School (via BABSCon)</t>
  </si>
  <si>
    <t>- Andy Price's donated art (eBay auction)</t>
  </si>
  <si>
    <t>- Jenn Blake's donated art (eBay auction)</t>
  </si>
  <si>
    <t>- Tony Fleecs' donated art (eBay auction)</t>
  </si>
  <si>
    <t>Sean Rey, a victim of a hit and run (please donate!)</t>
  </si>
  <si>
    <t>Ponyville Ciderfest 2014</t>
  </si>
  <si>
    <t>ExtraLife4Kids</t>
  </si>
  <si>
    <t>JapanPonycon 2014 Autumn (4)</t>
  </si>
  <si>
    <t>Tohoku Disaster Relief Fund</t>
  </si>
  <si>
    <t>¥ 164,555.00</t>
  </si>
  <si>
    <t>Nightmare Nights 2014</t>
  </si>
  <si>
    <t>St. Jude Children's Research Hospital</t>
  </si>
  <si>
    <t>unidentified Syrian childrens' aid charity</t>
  </si>
  <si>
    <t>UK PonyCon 2014</t>
  </si>
  <si>
    <t>BronyScot</t>
  </si>
  <si>
    <t>Scottish Autism</t>
  </si>
  <si>
    <t>Czequestria</t>
  </si>
  <si>
    <t>Bronies for Good</t>
  </si>
  <si>
    <t>46,700 CZK</t>
  </si>
  <si>
    <t>BUCK 2014</t>
  </si>
  <si>
    <t>BronyCAN 2014</t>
  </si>
  <si>
    <t>Eversafe Ranch; ALS Ice Bucket Challenge</t>
  </si>
  <si>
    <t>The Grand Brony Gala 2</t>
  </si>
  <si>
    <t>Crystal Mountain Pony Con 2014</t>
  </si>
  <si>
    <t>GalaCon 2014</t>
  </si>
  <si>
    <t>SibBroniKon</t>
  </si>
  <si>
    <t>BronyCon 2014</t>
  </si>
  <si>
    <t>My Little Pony Fair 2014</t>
  </si>
  <si>
    <t>Fiesta Equestria 2014</t>
  </si>
  <si>
    <t>Room to Read</t>
  </si>
  <si>
    <t>Brony Expo 2014</t>
  </si>
  <si>
    <t>Crystal Kids</t>
  </si>
  <si>
    <t>CAD $5800</t>
  </si>
  <si>
    <t>Canterlot University</t>
  </si>
  <si>
    <t>Flutty Con</t>
  </si>
  <si>
    <t>MLP-MSP</t>
  </si>
  <si>
    <t>Big Apple Ponycon 2014</t>
  </si>
  <si>
    <t>RuBroniKon 2014</t>
  </si>
  <si>
    <t>BABSCon 2014</t>
  </si>
  <si>
    <t>Animation Celebration</t>
  </si>
  <si>
    <t>$2,353.00 (AUD)</t>
  </si>
  <si>
    <t>TROTTawa 2014</t>
  </si>
  <si>
    <t>JapanPonycon 2014 New Year</t>
  </si>
  <si>
    <t>8/5/2014 ???</t>
  </si>
  <si>
    <t>Dana Farber Cancer Institute (inclusive of funds raised during fundraiser below?)</t>
  </si>
  <si>
    <t>Heavenly Nostrils Fundraiser (4/29/2014)</t>
  </si>
  <si>
    <t>Dana Farber Cancer Institute</t>
  </si>
  <si>
    <t>Wounded Warrior Project ($4314) + Glendale College View School ($2167) + ???</t>
  </si>
  <si>
    <t>Michael Morones</t>
  </si>
  <si>
    <t>Organized by World of Equestria</t>
  </si>
  <si>
    <t>C. Vilbrandt's BronyCon 2014 Booth Silent Auction</t>
  </si>
  <si>
    <t>Make a Wish Foundation</t>
  </si>
  <si>
    <t>CANterlot Con 2013</t>
  </si>
  <si>
    <t>Nightmare Nights</t>
  </si>
  <si>
    <t>St. Jude Children's Research Hospital; North Texas Food Bank</t>
  </si>
  <si>
    <t>BronyDays 2013</t>
  </si>
  <si>
    <t>Les blouses Roses</t>
  </si>
  <si>
    <t>Sac Brony Expo</t>
  </si>
  <si>
    <t>Shriners Hospital for Children</t>
  </si>
  <si>
    <t>UK Ponycon</t>
  </si>
  <si>
    <t>Riding for the DIsabled Association</t>
  </si>
  <si>
    <t>BronyCAN 2013</t>
  </si>
  <si>
    <t>B.C. Children's Hospital Foundation</t>
  </si>
  <si>
    <t>BUCK 2013</t>
  </si>
  <si>
    <t>Cardiac Risk in the Young</t>
  </si>
  <si>
    <t>GalaCon 2013</t>
  </si>
  <si>
    <t>(still gathering data); charity auction run by BfG</t>
  </si>
  <si>
    <t>BronyCon 2013</t>
  </si>
  <si>
    <t>Cure Search</t>
  </si>
  <si>
    <t>Approximate.</t>
  </si>
  <si>
    <t>Midwest Brony Fest 2013</t>
  </si>
  <si>
    <t>Child's Play @ Children's Mercy Hospital of Kansas City</t>
  </si>
  <si>
    <t>Everfree Northwest 2013</t>
  </si>
  <si>
    <t>The Grand Brony Gala 2013</t>
  </si>
  <si>
    <t>Children's Miracle Network</t>
  </si>
  <si>
    <t>EquestriaLA 2013</t>
  </si>
  <si>
    <t>Child's Play</t>
  </si>
  <si>
    <t>Brony-Fest 2013</t>
  </si>
  <si>
    <t>Local kitten rescue group</t>
  </si>
  <si>
    <t>Cloudsdale Congress 2013</t>
  </si>
  <si>
    <t>The California Institute of the Arts (Derpy Hooves Animation Scholarship Endowment)</t>
  </si>
  <si>
    <t>Habitat for Humanity Intl</t>
  </si>
  <si>
    <t>The Data-Farber Cancer Institute</t>
  </si>
  <si>
    <t>The College View School</t>
  </si>
  <si>
    <t>Engineers Without Borders, USA</t>
  </si>
  <si>
    <t>GLSEN</t>
  </si>
  <si>
    <t>CAD 19630.56</t>
  </si>
  <si>
    <t>Kiki Havivy</t>
  </si>
  <si>
    <t>2012 / 2011</t>
  </si>
  <si>
    <t>Equestria LA 2012</t>
  </si>
  <si>
    <t>Operation Smile; Ride to Conquer Cancer; Kiki's Treatment</t>
  </si>
  <si>
    <t>UK PonyCon 2012</t>
  </si>
  <si>
    <t>BUCK 2012</t>
  </si>
  <si>
    <t>National Autistic Society</t>
  </si>
  <si>
    <t>Everfree Northwest 2012</t>
  </si>
  <si>
    <t>GalaCon 2012</t>
  </si>
  <si>
    <t>Trotcon 2012</t>
  </si>
  <si>
    <t>BronyCon Summer 2012</t>
  </si>
  <si>
    <t>BronyCon January 2012</t>
  </si>
  <si>
    <t>Marine Toys for Tots Foundation</t>
  </si>
  <si>
    <t>Marine Toys for Tots Foundation (Donated Advertising)</t>
  </si>
  <si>
    <t>BRONIES FOR GOOD</t>
  </si>
  <si>
    <t>Smile!</t>
  </si>
  <si>
    <t>Seeds of Kindness</t>
  </si>
  <si>
    <t>BASED ON CURRENT EXCHANGE; NEED HISTORICAL DATA</t>
  </si>
  <si>
    <t>Seeds of Kindness 2</t>
  </si>
  <si>
    <t>Kallisti</t>
  </si>
  <si>
    <t>Miscellaneous</t>
  </si>
  <si>
    <t>Episode 5 (June 8th, 2012)</t>
  </si>
  <si>
    <t>Episode 4 (June 2nd, 2012)</t>
  </si>
  <si>
    <t>Episode 3 (May 25th, 2012)</t>
  </si>
  <si>
    <t>Episode 2 (May 19th, 2012)</t>
  </si>
  <si>
    <t>Episode 1 (May 5th, 2012)</t>
  </si>
  <si>
    <t>Inked! Art for Africa (in support of Madeline Peter's fundraiser)</t>
  </si>
  <si>
    <t>~ CAD 5000</t>
  </si>
  <si>
    <t>Benders vs. Bronies Subreddit Challenge (2012)</t>
  </si>
  <si>
    <t>Doctors Without Borders</t>
  </si>
  <si>
    <t>HOVER HERE FOR NOTES</t>
  </si>
  <si>
    <t>All Days (Basic)</t>
  </si>
  <si>
    <t>Sponsorships</t>
  </si>
  <si>
    <t>Individual Days</t>
  </si>
  <si>
    <t>Special Passes</t>
  </si>
  <si>
    <t>Add-Ons</t>
  </si>
  <si>
    <t>Days</t>
  </si>
  <si>
    <t>Basic (Tier 1)</t>
  </si>
  <si>
    <t>Cost / Day</t>
  </si>
  <si>
    <t>% Diff from Per Day Mean</t>
  </si>
  <si>
    <t>% Diff from Per Day Median</t>
  </si>
  <si>
    <t>Tier 2</t>
  </si>
  <si>
    <t>Tier 3</t>
  </si>
  <si>
    <t>Tier 4</t>
  </si>
  <si>
    <t>Tier 5</t>
  </si>
  <si>
    <t>Tier 6</t>
  </si>
  <si>
    <t>Tier 7</t>
  </si>
  <si>
    <t>Day 1</t>
  </si>
  <si>
    <t xml:space="preserve">Day 2 </t>
  </si>
  <si>
    <t>Day 3</t>
  </si>
  <si>
    <t>Children</t>
  </si>
  <si>
    <t>Minors</t>
  </si>
  <si>
    <t>Vendor?</t>
  </si>
  <si>
    <t>Vendor (Just Art)</t>
  </si>
  <si>
    <t>Concert</t>
  </si>
  <si>
    <t>Dinner</t>
  </si>
  <si>
    <t>FREE (12-, w/ adult)</t>
  </si>
  <si>
    <t>FREE (5-)</t>
  </si>
  <si>
    <t>$30 (13-, w/ adult)</t>
  </si>
  <si>
    <t>FREE (12-)</t>
  </si>
  <si>
    <t xml:space="preserve">$40 (13-)
</t>
  </si>
  <si>
    <t>FREE (10-)</t>
  </si>
  <si>
    <t>$20 (5-12)</t>
  </si>
  <si>
    <t>$10 (12-)</t>
  </si>
  <si>
    <t>FREE (12-)*</t>
  </si>
  <si>
    <t>$20 / 30 (13-15)</t>
  </si>
  <si>
    <t>$15 (12-)</t>
  </si>
  <si>
    <t>FREE (6-)</t>
  </si>
  <si>
    <t>FREE (UNDER 6)</t>
  </si>
  <si>
    <t>$25 (6-12)</t>
  </si>
  <si>
    <t>Median Cost:</t>
  </si>
  <si>
    <t>Mean Cost:</t>
  </si>
  <si>
    <t>Trimmed Mean (omitted top and bottom 10%):</t>
  </si>
  <si>
    <t>Charity</t>
  </si>
  <si>
    <t>Money for Charity (USD)</t>
  </si>
  <si>
    <t>PHPonyCon</t>
  </si>
  <si>
    <t>http://phponycon.weebly.com/</t>
  </si>
  <si>
    <t>Las Pegasus Unicon</t>
  </si>
  <si>
    <t>http://www.laspegasusunicon.com</t>
  </si>
  <si>
    <t>~450</t>
  </si>
  <si>
    <t>http://www.cloudsdalecongress.com/</t>
  </si>
  <si>
    <t>PoniCon Argentina</t>
  </si>
  <si>
    <t>http://dragontamers.com.ar/PoniCon/index.html</t>
  </si>
  <si>
    <t>Big Apple Ponycon 2013</t>
  </si>
  <si>
    <t>http://www.bigappleponycon.com/</t>
  </si>
  <si>
    <t>~500</t>
  </si>
  <si>
    <t>http://www.brony-fest.com/</t>
  </si>
  <si>
    <t>[RU]BronyCon 2013</t>
  </si>
  <si>
    <t>http://rubronycon.ru/</t>
  </si>
  <si>
    <t>Crystal Mountain Pony Con 2013</t>
  </si>
  <si>
    <t>http://www.crystalmtponycon.com/</t>
  </si>
  <si>
    <t>Ponycon AU 2013</t>
  </si>
  <si>
    <t>http://www.ponyconau.com/</t>
  </si>
  <si>
    <t>~1500-1600</t>
  </si>
  <si>
    <t>http://www.equestriala.com/</t>
  </si>
  <si>
    <t>P0n3 Con</t>
  </si>
  <si>
    <t>http://www.pon3con.com/</t>
  </si>
  <si>
    <t>Cutie Mark Con</t>
  </si>
  <si>
    <t>http://www.cutiemarkcon.com/</t>
  </si>
  <si>
    <t>TrotCon 2013</t>
  </si>
  <si>
    <t>~900</t>
  </si>
  <si>
    <t>(N/A)</t>
  </si>
  <si>
    <t>http://www.trotcon.com/</t>
  </si>
  <si>
    <t>Fiesta Equestria 2013</t>
  </si>
  <si>
    <t>http://www.fiestaequestria.com/</t>
  </si>
  <si>
    <t>http://www.grandgallopingbronygalacon.com/</t>
  </si>
  <si>
    <t>http://www.everfreenw.com/</t>
  </si>
  <si>
    <t>My Little Pony Fair 2013</t>
  </si>
  <si>
    <t>http://www.mylittleponycon.com/</t>
  </si>
  <si>
    <t>http://www.mwbfkc.net</t>
  </si>
  <si>
    <t>&gt; $23,000.00</t>
  </si>
  <si>
    <t>http://www.bronycon.org</t>
  </si>
  <si>
    <t>~1000</t>
  </si>
  <si>
    <t>http://www.galacon.eu/</t>
  </si>
  <si>
    <t>~1200</t>
  </si>
  <si>
    <t>http://www.buckcon.org</t>
  </si>
  <si>
    <t>http://www.bronycan.ca</t>
  </si>
  <si>
    <t>~300</t>
  </si>
  <si>
    <t>&gt; £1700.00</t>
  </si>
  <si>
    <t>http://www.ukponycon.co.uk</t>
  </si>
  <si>
    <t>Brony Fan Fair 2013</t>
  </si>
  <si>
    <t>~1100+</t>
  </si>
  <si>
    <t>http://www.bronyfanfair.com/</t>
  </si>
  <si>
    <t>http://expo.sacbrony.com/</t>
  </si>
  <si>
    <t>Japan Pony Convention 2013</t>
  </si>
  <si>
    <t>http://ponycon.jp/</t>
  </si>
  <si>
    <t>Too Many Bronies</t>
  </si>
  <si>
    <t>~80+</t>
  </si>
  <si>
    <t>http://www.spaniardhooves.com/foro/viewtopic.php?f=15&amp;t=2274</t>
  </si>
  <si>
    <t>St. Louis Crystal Fair 2013</t>
  </si>
  <si>
    <t>http://crystalfairstl.com/</t>
  </si>
  <si>
    <t>DerpyCon South 2013</t>
  </si>
  <si>
    <t>http://derpycons.com/</t>
  </si>
  <si>
    <t>AppleloosaCon</t>
  </si>
  <si>
    <t>http://appleloosacon.com/</t>
  </si>
  <si>
    <t>http://www.bronydays.fr</t>
  </si>
  <si>
    <t>Running of the Leaves Con 2013</t>
  </si>
  <si>
    <t>http://rotlcon.com/</t>
  </si>
  <si>
    <t>DrawnCon 2013</t>
  </si>
  <si>
    <t>http://www.drawncon.com</t>
  </si>
  <si>
    <t>$9122; ~$3120</t>
  </si>
  <si>
    <t>http://www.nightmarenights.net/</t>
  </si>
  <si>
    <t>http://www.canterlotconvention.com/</t>
  </si>
  <si>
    <t>Friday, Feb. 22</t>
  </si>
  <si>
    <t>Saturday, Feb. 23</t>
  </si>
  <si>
    <t>Sunday, Feb. 24</t>
  </si>
  <si>
    <t>Cloudsdale Congress</t>
  </si>
  <si>
    <t>Saturday, Mar. 9</t>
  </si>
  <si>
    <t>[cancelled]</t>
  </si>
  <si>
    <t>Sunday, Mar. 10</t>
  </si>
  <si>
    <t>Big Apple Ponycon</t>
  </si>
  <si>
    <t>Saturday, Mar. 23</t>
  </si>
  <si>
    <t>[withdrew]</t>
  </si>
  <si>
    <t>Sunday, Mar. 24</t>
  </si>
  <si>
    <t>Brony-Fest</t>
  </si>
  <si>
    <t>Friday, Mar. 29</t>
  </si>
  <si>
    <t>Saturday, Mar. 30</t>
  </si>
  <si>
    <t>Sunday, Mar. 31</t>
  </si>
  <si>
    <t>EquestriaLA</t>
  </si>
  <si>
    <t>Friday, May 10</t>
  </si>
  <si>
    <t>Saturday, May 11</t>
  </si>
  <si>
    <t>Sunday, May 12</t>
  </si>
  <si>
    <t>Friday, May 31</t>
  </si>
  <si>
    <t>Saturday, Jun. 1</t>
  </si>
  <si>
    <t>Sunday, Jun. 2</t>
  </si>
  <si>
    <t>TrotCon</t>
  </si>
  <si>
    <t>Friday, Jun. 14</t>
  </si>
  <si>
    <t>[withdrew (emmys)]</t>
  </si>
  <si>
    <t>Saturday, Jun. 15</t>
  </si>
  <si>
    <t>Sunday, Jun. 16</t>
  </si>
  <si>
    <t>Fiesta Equestria</t>
  </si>
  <si>
    <t>Friday, Jun. 28</t>
  </si>
  <si>
    <t>Saturday, Jun. 29</t>
  </si>
  <si>
    <t>Sunday, Jun. 30</t>
  </si>
  <si>
    <t>Everfree Northwest</t>
  </si>
  <si>
    <t>Friday, Jul. 5</t>
  </si>
  <si>
    <t>(withdrew – illness)</t>
  </si>
  <si>
    <t>Saturday, Jul. 6</t>
  </si>
  <si>
    <t>Sunday, Jul. 7</t>
  </si>
  <si>
    <t>My Little Pony Fair</t>
  </si>
  <si>
    <t>Sweet Apple Acres Con</t>
  </si>
  <si>
    <t>Friday, Jul. 12</t>
  </si>
  <si>
    <t>Saturday, Jul. 13</t>
  </si>
  <si>
    <t>Sunday, Jul. 14</t>
  </si>
  <si>
    <t>Midwest Brony Fest</t>
  </si>
  <si>
    <t>Saturday, Jul. 27</t>
  </si>
  <si>
    <t>Sunday, Jul. 28</t>
  </si>
  <si>
    <t>BronyCon</t>
  </si>
  <si>
    <t>Friday, Aug. 2</t>
  </si>
  <si>
    <t>Saturday, Aug. 3</t>
  </si>
  <si>
    <t>Sunday, Aug. 4</t>
  </si>
  <si>
    <t>GalaCon</t>
  </si>
  <si>
    <t>BUCK</t>
  </si>
  <si>
    <t>Friday, Aug. 23</t>
  </si>
  <si>
    <t>(via Skype)</t>
  </si>
  <si>
    <t>Saturday, Aug. 24</t>
  </si>
  <si>
    <t>Sunday, Aug. 25</t>
  </si>
  <si>
    <t>BronyCAN</t>
  </si>
  <si>
    <t>DerpyCon South</t>
  </si>
  <si>
    <t>Friday, Oct. 4</t>
  </si>
  <si>
    <t>Saturday, Oct. 5</t>
  </si>
  <si>
    <t>Sunday, Oct. 6</t>
  </si>
  <si>
    <t>BronyDays</t>
  </si>
  <si>
    <t>Saturday, Oct. 26</t>
  </si>
  <si>
    <t>Sunday, Oct. 27</t>
  </si>
  <si>
    <t>Friday, Nov. 8</t>
  </si>
  <si>
    <t>Saturday, Nov. 9</t>
  </si>
  <si>
    <t>Sunday, Nov. 10</t>
  </si>
  <si>
    <t>Sydneigh 2014</t>
  </si>
  <si>
    <t>Ponycon AU 2014</t>
  </si>
  <si>
    <t>Jen Blake</t>
  </si>
  <si>
    <t>C</t>
  </si>
  <si>
    <t>Brony Fan Fair</t>
  </si>
  <si>
    <t>Crystal Fair STL</t>
  </si>
  <si>
    <t>CANterlot Con</t>
  </si>
  <si>
    <t>Afillyated</t>
  </si>
  <si>
    <t>Apple Cider</t>
  </si>
  <si>
    <t>Axon</t>
  </si>
  <si>
    <t>Cyril</t>
  </si>
  <si>
    <t>Derpidety</t>
  </si>
  <si>
    <t>DJ Garnika</t>
  </si>
  <si>
    <t>DJ Midli</t>
  </si>
  <si>
    <t>Double Rainboom</t>
  </si>
  <si>
    <t>DustyKatt</t>
  </si>
  <si>
    <t>EileMonty</t>
  </si>
  <si>
    <t>Flutterwhat</t>
  </si>
  <si>
    <t>Foal Papers</t>
  </si>
  <si>
    <t>HotDiggedyDemon</t>
  </si>
  <si>
    <t>Jan Animation</t>
  </si>
  <si>
    <t>Jessi Nowack</t>
  </si>
  <si>
    <t>LaserPon3</t>
  </si>
  <si>
    <t>Michael A.</t>
  </si>
  <si>
    <t>Michael Dodd</t>
  </si>
  <si>
    <t>Odyssey</t>
  </si>
  <si>
    <t>Pixelkitties</t>
  </si>
  <si>
    <t>The Przewalski's Ponies</t>
  </si>
  <si>
    <t>RIna-Chan</t>
  </si>
  <si>
    <t>ShortSkirtsAndExplosions</t>
  </si>
  <si>
    <t>Skybolt</t>
  </si>
  <si>
    <t>Solrac (YapLap)</t>
  </si>
  <si>
    <t>SophieCabra</t>
  </si>
  <si>
    <t>Starswirl Academy</t>
  </si>
  <si>
    <t>Technickel Pony</t>
  </si>
  <si>
    <t>Trackbeam</t>
  </si>
  <si>
    <t>Yulynh</t>
  </si>
  <si>
    <t>St. Louis Crystal Fair</t>
  </si>
  <si>
    <t>Running of the Leaves Convention</t>
  </si>
  <si>
    <t>Last Updated: 13 Sep 2013</t>
  </si>
  <si>
    <t>City</t>
  </si>
  <si>
    <t>Venue</t>
  </si>
  <si>
    <t>Date</t>
  </si>
  <si>
    <t>Doors Open</t>
  </si>
  <si>
    <t>Start Time</t>
  </si>
  <si>
    <t>Jackle App</t>
  </si>
  <si>
    <t>Wynter Barber</t>
  </si>
  <si>
    <t>Amelie Belcher</t>
  </si>
  <si>
    <t>Sherry Bourlon 
(White Dove Creations)</t>
  </si>
  <si>
    <t>Braeburned</t>
  </si>
  <si>
    <t>Bagpipe Brony</t>
  </si>
  <si>
    <t>Chaotic Brony</t>
  </si>
  <si>
    <t>Yelling at Cats</t>
  </si>
  <si>
    <t>Rina-Chan</t>
  </si>
  <si>
    <t>Renegade Cow</t>
  </si>
  <si>
    <t>Mogul Dash</t>
  </si>
  <si>
    <t>Hot Diggedy Demon</t>
  </si>
  <si>
    <t>djtetsuo</t>
  </si>
  <si>
    <t>Dr3amland</t>
  </si>
  <si>
    <t>DrSentenial</t>
  </si>
  <si>
    <t>Debra Marie Eadie
(DSHooves)</t>
  </si>
  <si>
    <t>Seventh Element</t>
  </si>
  <si>
    <t>F3nning</t>
  </si>
  <si>
    <t>Spike Firemane</t>
  </si>
  <si>
    <t>Spain Fischer
(SophieCabra)</t>
  </si>
  <si>
    <t>Flaedr</t>
  </si>
  <si>
    <t>Assertive Fluttershy</t>
  </si>
  <si>
    <t>Deimos Foxx</t>
  </si>
  <si>
    <t>Tess Garman
(Kenket)</t>
  </si>
  <si>
    <t>Fredd Gorham</t>
  </si>
  <si>
    <t>Derpy Grooves</t>
  </si>
  <si>
    <t>Summer Hayes</t>
  </si>
  <si>
    <t>Zachary Holcomb</t>
  </si>
  <si>
    <t>Silva Hound</t>
  </si>
  <si>
    <t>Ibeabronyrapper</t>
  </si>
  <si>
    <t>Razor Jack</t>
  </si>
  <si>
    <t>Emily Jones</t>
  </si>
  <si>
    <t>Purple Kecleon</t>
  </si>
  <si>
    <t>Kujiiro</t>
  </si>
  <si>
    <t>Rob "Vash" Lewis</t>
  </si>
  <si>
    <t>MandoPony</t>
  </si>
  <si>
    <t>Toxic Mario</t>
  </si>
  <si>
    <t>Mic the Microphone</t>
  </si>
  <si>
    <t>Serena Midori</t>
  </si>
  <si>
    <t>Sam Miller</t>
  </si>
  <si>
    <t>Mushrooshi</t>
  </si>
  <si>
    <t>J. Nez</t>
  </si>
  <si>
    <t>Odyssey 
(Eurobeat Brony)</t>
  </si>
  <si>
    <t>Omnipony</t>
  </si>
  <si>
    <t>PaleoSteno</t>
  </si>
  <si>
    <t>AC Racebeast</t>
  </si>
  <si>
    <t>Rawrcharlierawr 
(RCR)</t>
  </si>
  <si>
    <t>Eric Ridenour</t>
  </si>
  <si>
    <t>Dev the Robot</t>
  </si>
  <si>
    <t>Skyline</t>
  </si>
  <si>
    <t>SMOR3S</t>
  </si>
  <si>
    <t>Solrac</t>
  </si>
  <si>
    <t>Saber Spark</t>
  </si>
  <si>
    <t>Additive Subtractive</t>
  </si>
  <si>
    <t>SuperPsyGuy</t>
  </si>
  <si>
    <t>Tarby</t>
  </si>
  <si>
    <t>Laugh Track</t>
  </si>
  <si>
    <t>Tsitra360</t>
  </si>
  <si>
    <t>Joe Vesper
(Sol)</t>
  </si>
  <si>
    <t>Neil Wacaster
(DrawPonies)</t>
  </si>
  <si>
    <t>Dream Weaver</t>
  </si>
  <si>
    <t>WillDrawForFood1</t>
  </si>
  <si>
    <t>Cyril the Wolf</t>
  </si>
  <si>
    <t>DJ Wootmaster</t>
  </si>
  <si>
    <t>General Zoi</t>
  </si>
  <si>
    <t>PON3 Con</t>
  </si>
  <si>
    <t>Location</t>
  </si>
  <si>
    <t>Raised for Charity</t>
  </si>
  <si>
    <t>Raised for Charity (USD)</t>
  </si>
  <si>
    <t>My Little Konwent</t>
  </si>
  <si>
    <t>Krakow, Poland</t>
  </si>
  <si>
    <t>BronyMexiCON</t>
  </si>
  <si>
    <t>$7,304; $1,865; $2,486.33 ($11,655.33 total)</t>
  </si>
  <si>
    <t>Canterlot Gardens 2012</t>
  </si>
  <si>
    <t>Midwestria 2012</t>
  </si>
  <si>
    <t>~600</t>
  </si>
  <si>
    <t>BronyFanFair 2012</t>
  </si>
  <si>
    <t>~900+</t>
  </si>
  <si>
    <t>~700</t>
  </si>
  <si>
    <t>Seattle, WA, USA</t>
  </si>
  <si>
    <t>~1500</t>
  </si>
  <si>
    <t>Stuttgart, Germany</t>
  </si>
  <si>
    <t>~$ 8,000.00</t>
  </si>
  <si>
    <t>BroNYCon January 2012</t>
  </si>
  <si>
    <t>BroNYCon September 2011</t>
  </si>
  <si>
    <t>BroNYCon June 2011</t>
  </si>
  <si>
    <t>PHPonyCon 2012</t>
  </si>
  <si>
    <t>CSB Hotel, Manila</t>
  </si>
  <si>
    <t>P0n3Con 2012???</t>
  </si>
  <si>
    <t>Canterlot Gardens 2014</t>
  </si>
  <si>
    <t>Independence, OH, USA</t>
  </si>
  <si>
    <t>http://www.indiegogo.com/projects/canterlot-gardens-2014</t>
  </si>
  <si>
    <t>Midwestria 2014</t>
  </si>
  <si>
    <t>2014</t>
  </si>
  <si>
    <t>http://www.sweetapplecon.com/</t>
  </si>
  <si>
    <t>Brony Beach Minicon</t>
  </si>
  <si>
    <t>CrystalCon</t>
  </si>
  <si>
    <t>http://www.crystalcon.eu/</t>
  </si>
  <si>
    <t>Winter Moon Celebration Atlanta</t>
  </si>
  <si>
    <t>http://www.wintermoonatlanta.com/</t>
  </si>
  <si>
    <t>Nightmare Night Atlanta</t>
  </si>
  <si>
    <t>Atlanta, GA, USA</t>
  </si>
  <si>
    <t>October 2013</t>
  </si>
  <si>
    <t>http://www.nightmarenightatlanta.com/</t>
  </si>
  <si>
    <t>Brony Exhibition</t>
  </si>
  <si>
    <t>http://calgarybronyexhibition.blogspot.ca</t>
  </si>
  <si>
    <t>Canterlot Gardens</t>
  </si>
  <si>
    <t>Strongsville, OH, USA</t>
  </si>
  <si>
    <t>2013</t>
  </si>
  <si>
    <t>Snowhoof MLP Convention</t>
  </si>
  <si>
    <t>hfeq.org</t>
  </si>
  <si>
    <t>Additional Resources:</t>
  </si>
  <si>
    <t>http://www.shuttershy.org/events/</t>
  </si>
  <si>
    <t>http://equestriacon.com/cons/</t>
  </si>
  <si>
    <t>http://thedailyoat.com/2013/02/01/the-daily-oat-convention-guide-2013/</t>
  </si>
  <si>
    <t>http://www.equestriadaily.com/2013/01/convention-listings-for-year_18.html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</si>
</sst>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4">
    <numFmt numFmtId="164" formatCode="£#,##0.00"/>
    <numFmt numFmtId="165" formatCode="m/d/yyyy h:mm:ss"/>
    <numFmt numFmtId="166" formatCode="d MMM yyyy"/>
    <numFmt numFmtId="167" formatCode="$###,##0.00"/>
    <numFmt numFmtId="168" formatCode="&quot;CA$&quot; ###,##0.00"/>
    <numFmt numFmtId="169" formatCode="$ #,##0.00"/>
    <numFmt numFmtId="170" formatCode="$#,##0.00"/>
    <numFmt numFmtId="171" formatCode="&quot;£&quot;#,##0"/>
    <numFmt numFmtId="172" formatCode="€ #,##0.00"/>
    <numFmt numFmtId="173" formatCode="¥ #,##0.00"/>
    <numFmt numFmtId="174" formatCode="&quot;CA$&quot; #,##0.00"/>
    <numFmt numFmtId="175" formatCode="&quot;€ &quot;#,##0"/>
    <numFmt numFmtId="176" formatCode="h:mm am/pm"/>
    <numFmt numFmtId="177" formatCode="&quot;£&quot;#,##0.00"/>
  </numFmts>
  <fonts count="160">
    <font>
      <sz val="10.0"/>
      <color rgb="FF000000"/>
      <name val="Arial"/>
    </font>
    <font/>
    <font>
      <b/>
      <sz val="9.0"/>
      <color rgb="FFF3F3F3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0000FF"/>
      <name val="Trebuchet MS"/>
    </font>
    <font>
      <b/>
      <u/>
      <sz val="9.0"/>
      <color rgb="FF3C4D85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sz val="9.0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i/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i/>
      <sz val="9.0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i/>
      <sz val="10.0"/>
    </font>
    <font>
      <b/>
      <i/>
      <sz val="9.0"/>
      <color rgb="FFF3F3F3"/>
      <name val="Trebuchet MS"/>
    </font>
    <font>
      <strike/>
      <sz val="9.0"/>
      <name val="Trebuchet MS"/>
    </font>
    <font>
      <strike/>
      <u/>
      <sz val="9.0"/>
      <color rgb="FF0000FF"/>
      <name val="Trebuchet MS"/>
    </font>
    <font>
      <strike/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i/>
      <u/>
      <sz val="9.0"/>
      <color rgb="FF0000FF"/>
      <name val="Trebuchet MS"/>
    </font>
    <font>
      <i/>
      <u/>
      <sz val="9.0"/>
      <color rgb="FF0000FF"/>
      <name val="Trebuchet MS"/>
    </font>
    <font>
      <b/>
      <sz val="9.0"/>
      <color rgb="FFFFFFFF"/>
      <name val="Trebuchet MS"/>
    </font>
    <font>
      <sz val="9.0"/>
      <color rgb="FFFFFFFF"/>
      <name val="Trebuchet MS"/>
    </font>
    <font>
      <u/>
      <color rgb="FF0000FF"/>
    </font>
    <font>
      <u/>
      <sz val="9.0"/>
      <color rgb="FF0000FF"/>
      <name val="Trebuchet MS"/>
    </font>
    <font>
      <u/>
      <sz val="9.0"/>
      <color rgb="FF0000FF"/>
      <name val="Trebuchet MS"/>
    </font>
    <font>
      <sz val="9.0"/>
      <color rgb="FF000000"/>
      <name val="Trebuchet MS"/>
    </font>
    <font>
      <u/>
      <sz val="9.0"/>
      <color rgb="FF0000FF"/>
      <name val="Trebuchet MS"/>
    </font>
    <font>
      <b/>
      <u/>
      <sz val="8.0"/>
      <color rgb="FF3C4D85"/>
      <name val="Trebuchet MS"/>
    </font>
    <font>
      <b/>
      <sz val="8.0"/>
      <color rgb="FF3C4D85"/>
      <name val="Trebuchet MS"/>
    </font>
    <font>
      <b/>
      <sz val="8.0"/>
      <color rgb="FFFFFFFF"/>
      <name val="Trebuchet MS"/>
    </font>
    <font>
      <sz val="8.0"/>
      <name val="Trebuchet MS"/>
    </font>
    <font>
      <sz val="8.0"/>
    </font>
    <font>
      <sz val="8.0"/>
      <color rgb="FFF0599C"/>
      <name val="Trebuchet MS"/>
    </font>
    <font>
      <strike/>
      <sz val="8.0"/>
      <name val="Trebuchet MS"/>
    </font>
    <font>
      <strike/>
      <sz val="8.0"/>
    </font>
    <font>
      <strike/>
      <sz val="8.0"/>
      <color rgb="FFF0599C"/>
      <name val="Trebuchet MS"/>
    </font>
    <font>
      <b/>
      <i/>
      <sz val="8.0"/>
      <name val="Trebuchet MS"/>
    </font>
    <font>
      <b/>
      <sz val="8.0"/>
      <name val="Trebuchet MS"/>
    </font>
    <font>
      <b/>
      <u/>
      <sz val="8.0"/>
      <color rgb="FFFFFFFF"/>
      <name val="Verdana"/>
    </font>
    <font>
      <b/>
      <sz val="8.0"/>
      <color rgb="FFFFFFFF"/>
      <name val="Verdana"/>
    </font>
    <font>
      <b/>
      <u/>
      <sz val="8.0"/>
      <color rgb="FFFFFFFF"/>
      <name val="Verdana"/>
    </font>
    <font>
      <sz val="8.0"/>
      <color rgb="FF000000"/>
      <name val="Verdana"/>
    </font>
    <font>
      <sz val="8.0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b/>
      <u/>
      <sz val="8.0"/>
      <color rgb="FFF3F3F3"/>
      <name val="Verdana"/>
    </font>
    <font>
      <b/>
      <u/>
      <sz val="8.0"/>
      <color rgb="FFF3F3F3"/>
      <name val="Verdana"/>
    </font>
    <font>
      <b/>
      <sz val="8.0"/>
      <color rgb="FF000000"/>
      <name val="Verdana"/>
    </font>
    <font>
      <i/>
      <sz val="8.0"/>
      <name val="Verdana"/>
    </font>
    <font>
      <i/>
      <u/>
      <sz val="8.0"/>
      <color rgb="FF0000FF"/>
      <name val="Verdana"/>
    </font>
    <font>
      <b/>
      <sz val="8.0"/>
      <name val="Verdana"/>
    </font>
    <font>
      <u/>
      <sz val="8.0"/>
      <color rgb="FF0000FF"/>
      <name val="Verdana"/>
    </font>
    <font>
      <u/>
      <sz val="8.0"/>
      <color rgb="FF000000"/>
      <name val="Verdana"/>
    </font>
    <font>
      <u/>
      <sz val="8.0"/>
      <color rgb="FF0000FF"/>
      <name val="Verdana"/>
    </font>
    <font>
      <i/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b/>
      <sz val="8.0"/>
      <color rgb="FFD9D9D9"/>
      <name val="Verdana"/>
    </font>
    <font>
      <u/>
      <sz val="8.0"/>
      <name val="Verdana"/>
    </font>
    <font>
      <u/>
      <sz val="8.0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i/>
      <sz val="8.0"/>
      <color rgb="FF000000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b/>
      <sz val="8.0"/>
      <color rgb="FFF3F3F3"/>
      <name val="Verdana"/>
    </font>
    <font>
      <sz val="8.0"/>
      <color rgb="FFFFFFFF"/>
      <name val="Verdana"/>
    </font>
    <font>
      <b/>
      <u/>
      <sz val="8.0"/>
      <color rgb="FF3C4D85"/>
      <name val="Verdana"/>
    </font>
    <font>
      <b/>
      <u/>
      <sz val="8.0"/>
      <color rgb="FF3C4D85"/>
      <name val="Verdana"/>
    </font>
    <font>
      <b/>
      <u/>
      <sz val="8.0"/>
      <color rgb="FF3C4D85"/>
      <name val="Verdana"/>
    </font>
    <font>
      <b/>
      <sz val="8.0"/>
      <color rgb="FF3C4D85"/>
      <name val="Verdana"/>
    </font>
    <font>
      <b/>
      <u/>
      <sz val="8.0"/>
      <color rgb="FF3C4D85"/>
      <name val="Verdana"/>
    </font>
    <font>
      <b/>
      <u/>
      <sz val="8.0"/>
      <color rgb="FF3C4D85"/>
      <name val="Verdana"/>
    </font>
    <font>
      <b/>
      <u/>
      <sz val="8.0"/>
      <color rgb="FF3C4D85"/>
      <name val="Verdana"/>
    </font>
    <font>
      <b/>
      <u/>
      <sz val="8.0"/>
      <color rgb="FF3C4D85"/>
      <name val="Verdana"/>
    </font>
    <font>
      <b/>
      <i/>
      <sz val="8.0"/>
      <color rgb="FFF3F3F3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i/>
      <u/>
      <sz val="8.0"/>
      <color rgb="FF0000FF"/>
      <name val="Verdana"/>
    </font>
    <font>
      <u/>
      <sz val="8.0"/>
      <color rgb="FF0000FF"/>
      <name val="Verdana"/>
    </font>
    <font>
      <u/>
      <sz val="8.0"/>
      <color rgb="FF0000FF"/>
      <name val="Verdana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b/>
      <u/>
      <sz val="7.0"/>
      <color rgb="FF3C4D85"/>
      <name val="Trebuchet MS"/>
    </font>
    <font>
      <b/>
      <sz val="7.0"/>
      <color rgb="FF3C4D85"/>
      <name val="Trebuchet MS"/>
    </font>
    <font>
      <b/>
      <strike/>
      <sz val="7.0"/>
      <name val="Trebuchet MS"/>
    </font>
    <font>
      <sz val="7.0"/>
      <name val="Trebuchet MS"/>
    </font>
    <font>
      <sz val="7.0"/>
      <color rgb="FFDD7E6B"/>
      <name val="Trebuchet MS"/>
    </font>
    <font>
      <strike/>
      <sz val="7.0"/>
      <name val="Trebuchet MS"/>
    </font>
    <font>
      <strike/>
      <sz val="10.0"/>
    </font>
    <font>
      <sz val="6.0"/>
      <name val="Trebuchet MS"/>
    </font>
    <font>
      <b/>
      <sz val="7.0"/>
      <name val="Trebuchet MS"/>
    </font>
    <font>
      <sz val="7.0"/>
      <color rgb="FFF0599C"/>
      <name val="Trebuchet MS"/>
    </font>
    <font>
      <sz val="10.0"/>
      <name val="Trebuchet MS"/>
    </font>
    <font>
      <strike/>
      <sz val="7.0"/>
    </font>
    <font>
      <sz val="7.0"/>
    </font>
    <font>
      <b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b/>
      <u/>
      <sz val="9.0"/>
      <color rgb="FF3C4D85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u/>
      <sz val="9.0"/>
      <color rgb="FF0000FF"/>
      <name val="Trebuchet MS"/>
    </font>
    <font>
      <strike/>
      <u/>
      <sz val="9.0"/>
      <color rgb="FF0000FF"/>
      <name val="Trebuchet MS"/>
    </font>
    <font>
      <strike/>
      <u/>
      <sz val="9.0"/>
      <color rgb="FF0000FF"/>
      <name val="Trebuchet MS"/>
    </font>
    <font>
      <u/>
      <sz val="9.0"/>
      <color rgb="FF0000FF"/>
      <name val="Trebuchet MS"/>
    </font>
    <font>
      <sz val="10.0"/>
      <color rgb="FF3C4D85"/>
    </font>
  </fonts>
  <fills count="8">
    <fill>
      <patternFill patternType="none"/>
    </fill>
    <fill>
      <patternFill patternType="lightGray"/>
    </fill>
    <fill>
      <patternFill patternType="solid">
        <fgColor rgb="FF3C4D85"/>
        <bgColor rgb="FF3C4D85"/>
      </patternFill>
    </fill>
    <fill>
      <patternFill patternType="solid">
        <fgColor rgb="FFDCAEEE"/>
        <bgColor rgb="FFDCAEEE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F0599C"/>
        <bgColor rgb="FFF0599C"/>
      </patternFill>
    </fill>
    <fill>
      <patternFill patternType="solid">
        <fgColor rgb="FFEFEFEF"/>
        <bgColor rgb="FFEFEFEF"/>
      </patternFill>
    </fill>
  </fills>
  <borders count="13">
    <border/>
    <border>
      <bottom style="thin">
        <color rgb="FFF0599C"/>
      </bottom>
    </border>
    <border>
      <top style="thin">
        <color rgb="FFF0599C"/>
      </top>
      <bottom style="thin">
        <color rgb="FFF0599C"/>
      </bottom>
    </border>
    <border>
      <top style="thin">
        <color rgb="FFF0599C"/>
      </top>
    </border>
    <border>
      <bottom style="hair">
        <color rgb="FF000000"/>
      </bottom>
    </border>
    <border>
      <top style="hair">
        <color rgb="FF000000"/>
      </top>
    </border>
    <border>
      <right style="thin">
        <color rgb="FF3C4D85"/>
      </right>
    </border>
    <border>
      <left style="thin">
        <color rgb="FF3C4D85"/>
      </left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</border>
    <border>
      <top style="hair">
        <color rgb="FF000000"/>
      </top>
      <bottom style="dotted">
        <color rgb="FF000000"/>
      </bottom>
    </border>
    <border>
      <top style="dotted">
        <color rgb="FF000000"/>
      </top>
    </border>
  </borders>
  <cellStyleXfs count="1">
    <xf borderId="0" fillId="0" fontId="0" numFmtId="0" applyAlignment="1" applyFont="1"/>
  </cellStyleXfs>
  <cellXfs count="683">
    <xf borderId="0" fillId="0" fontId="0" numFmtId="0" xfId="0" applyAlignment="1" applyFont="1">
      <alignment readingOrder="0" shrinkToFit="0" vertical="bottom" wrapText="1"/>
    </xf>
    <xf borderId="0" fillId="2" fontId="1" numFmtId="0" xfId="0" applyAlignment="1" applyFill="1" applyFont="1">
      <alignment shrinkToFit="0" wrapText="1"/>
    </xf>
    <xf borderId="0" fillId="2" fontId="2" numFmtId="0" xfId="0" applyAlignment="1" applyFont="1">
      <alignment horizontal="right" readingOrder="0" shrinkToFit="0" vertical="bottom" wrapText="1"/>
    </xf>
    <xf borderId="0" fillId="2" fontId="2" numFmtId="164" xfId="0" applyAlignment="1" applyFont="1" applyNumberFormat="1">
      <alignment horizontal="center" readingOrder="0" shrinkToFit="0" vertical="bottom" wrapText="1"/>
    </xf>
    <xf borderId="0" fillId="3" fontId="3" numFmtId="0" xfId="0" applyAlignment="1" applyFill="1" applyFont="1">
      <alignment horizontal="left" readingOrder="0" shrinkToFit="0" vertical="bottom" wrapText="1"/>
    </xf>
    <xf borderId="0" fillId="3" fontId="4" numFmtId="0" xfId="0" applyAlignment="1" applyFont="1">
      <alignment readingOrder="0" shrinkToFit="0" wrapText="1"/>
    </xf>
    <xf borderId="0" fillId="3" fontId="5" numFmtId="0" xfId="0" applyAlignment="1" applyFont="1">
      <alignment shrinkToFit="0" wrapText="1"/>
    </xf>
    <xf borderId="0" fillId="3" fontId="6" numFmtId="165" xfId="0" applyAlignment="1" applyFont="1" applyNumberFormat="1">
      <alignment horizontal="right" readingOrder="0" shrinkToFit="0" vertical="bottom" wrapText="1"/>
    </xf>
    <xf borderId="0" fillId="3" fontId="7" numFmtId="0" xfId="0" applyAlignment="1" applyFont="1">
      <alignment horizontal="center" readingOrder="0" shrinkToFit="0" vertical="bottom" wrapText="1"/>
    </xf>
    <xf borderId="0" fillId="3" fontId="8" numFmtId="164" xfId="0" applyAlignment="1" applyFont="1" applyNumberFormat="1">
      <alignment readingOrder="0" shrinkToFit="0" wrapText="1"/>
    </xf>
    <xf borderId="0" fillId="3" fontId="9" numFmtId="0" xfId="0" applyAlignment="1" applyFont="1">
      <alignment shrinkToFit="0" wrapText="1"/>
    </xf>
    <xf borderId="0" fillId="3" fontId="10" numFmtId="165" xfId="0" applyAlignment="1" applyFont="1" applyNumberFormat="1">
      <alignment horizontal="left" readingOrder="0" shrinkToFit="0" vertical="bottom" wrapText="1"/>
    </xf>
    <xf borderId="0" fillId="4" fontId="11" numFmtId="0" xfId="0" applyAlignment="1" applyFill="1" applyFont="1">
      <alignment shrinkToFit="0" wrapText="1"/>
    </xf>
    <xf borderId="0" fillId="4" fontId="12" numFmtId="0" xfId="0" applyAlignment="1" applyFont="1">
      <alignment readingOrder="0" shrinkToFit="0" wrapText="1"/>
    </xf>
    <xf borderId="0" fillId="4" fontId="13" numFmtId="166" xfId="0" applyAlignment="1" applyFont="1" applyNumberFormat="1">
      <alignment horizontal="right" readingOrder="0" shrinkToFit="0" vertical="bottom" wrapText="1"/>
    </xf>
    <xf borderId="0" fillId="4" fontId="13" numFmtId="165" xfId="0" applyAlignment="1" applyFont="1" applyNumberFormat="1">
      <alignment horizontal="right" readingOrder="0" shrinkToFit="0" vertical="bottom" wrapText="1"/>
    </xf>
    <xf borderId="0" fillId="4" fontId="13" numFmtId="0" xfId="0" applyAlignment="1" applyFont="1">
      <alignment readingOrder="0" shrinkToFit="0" wrapText="1"/>
    </xf>
    <xf borderId="0" fillId="4" fontId="13" numFmtId="0" xfId="0" applyAlignment="1" applyFont="1">
      <alignment shrinkToFit="0" wrapText="1"/>
    </xf>
    <xf borderId="0" fillId="4" fontId="13" numFmtId="167" xfId="0" applyAlignment="1" applyFont="1" applyNumberFormat="1">
      <alignment shrinkToFit="0" wrapText="1"/>
    </xf>
    <xf borderId="1" fillId="0" fontId="14" numFmtId="0" xfId="0" applyAlignment="1" applyBorder="1" applyFont="1">
      <alignment shrinkToFit="0" wrapText="1"/>
    </xf>
    <xf borderId="1" fillId="0" fontId="15" numFmtId="167" xfId="0" applyAlignment="1" applyBorder="1" applyFont="1" applyNumberFormat="1">
      <alignment readingOrder="0" shrinkToFit="0" wrapText="1"/>
    </xf>
    <xf borderId="1" fillId="0" fontId="13" numFmtId="166" xfId="0" applyAlignment="1" applyBorder="1" applyFont="1" applyNumberFormat="1">
      <alignment horizontal="right" readingOrder="0" shrinkToFit="0" vertical="bottom" wrapText="1"/>
    </xf>
    <xf borderId="1" fillId="0" fontId="13" numFmtId="165" xfId="0" applyAlignment="1" applyBorder="1" applyFont="1" applyNumberFormat="1">
      <alignment horizontal="right" readingOrder="0" shrinkToFit="0" vertical="bottom" wrapText="1"/>
    </xf>
    <xf borderId="1" fillId="0" fontId="13" numFmtId="0" xfId="0" applyAlignment="1" applyBorder="1" applyFont="1">
      <alignment readingOrder="0" shrinkToFit="0" wrapText="1"/>
    </xf>
    <xf borderId="1" fillId="0" fontId="13" numFmtId="0" xfId="0" applyAlignment="1" applyBorder="1" applyFont="1">
      <alignment shrinkToFit="0" wrapText="1"/>
    </xf>
    <xf borderId="1" fillId="0" fontId="13" numFmtId="167" xfId="0" applyAlignment="1" applyBorder="1" applyFont="1" applyNumberFormat="1">
      <alignment shrinkToFit="0" wrapText="1"/>
    </xf>
    <xf borderId="2" fillId="4" fontId="16" numFmtId="0" xfId="0" applyAlignment="1" applyBorder="1" applyFont="1">
      <alignment shrinkToFit="0" wrapText="1"/>
    </xf>
    <xf borderId="2" fillId="4" fontId="17" numFmtId="167" xfId="0" applyAlignment="1" applyBorder="1" applyFont="1" applyNumberFormat="1">
      <alignment readingOrder="0" shrinkToFit="0" wrapText="1"/>
    </xf>
    <xf borderId="2" fillId="4" fontId="18" numFmtId="167" xfId="0" applyAlignment="1" applyBorder="1" applyFont="1" applyNumberFormat="1">
      <alignment shrinkToFit="0" wrapText="1"/>
    </xf>
    <xf borderId="2" fillId="4" fontId="13" numFmtId="49" xfId="0" applyAlignment="1" applyBorder="1" applyFont="1" applyNumberFormat="1">
      <alignment horizontal="right" readingOrder="0" shrinkToFit="0" vertical="bottom" wrapText="1"/>
    </xf>
    <xf borderId="2" fillId="4" fontId="13" numFmtId="166" xfId="0" applyAlignment="1" applyBorder="1" applyFont="1" applyNumberFormat="1">
      <alignment horizontal="right" readingOrder="0" shrinkToFit="0" vertical="bottom" wrapText="1"/>
    </xf>
    <xf borderId="2" fillId="4" fontId="13" numFmtId="0" xfId="0" applyAlignment="1" applyBorder="1" applyFont="1">
      <alignment shrinkToFit="0" wrapText="1"/>
    </xf>
    <xf borderId="2" fillId="4" fontId="13" numFmtId="167" xfId="0" applyAlignment="1" applyBorder="1" applyFont="1" applyNumberFormat="1">
      <alignment shrinkToFit="0" wrapText="1"/>
    </xf>
    <xf borderId="2" fillId="5" fontId="19" numFmtId="0" xfId="0" applyAlignment="1" applyBorder="1" applyFill="1" applyFont="1">
      <alignment shrinkToFit="0" wrapText="1"/>
    </xf>
    <xf borderId="2" fillId="5" fontId="20" numFmtId="167" xfId="0" applyAlignment="1" applyBorder="1" applyFont="1" applyNumberFormat="1">
      <alignment readingOrder="0" shrinkToFit="0" wrapText="1"/>
    </xf>
    <xf borderId="2" fillId="5" fontId="21" numFmtId="167" xfId="0" applyAlignment="1" applyBorder="1" applyFont="1" applyNumberFormat="1">
      <alignment shrinkToFit="0" wrapText="1"/>
    </xf>
    <xf borderId="2" fillId="5" fontId="13" numFmtId="166" xfId="0" applyAlignment="1" applyBorder="1" applyFont="1" applyNumberFormat="1">
      <alignment horizontal="right" readingOrder="0" shrinkToFit="0" vertical="bottom" wrapText="1"/>
    </xf>
    <xf borderId="2" fillId="5" fontId="13" numFmtId="0" xfId="0" applyAlignment="1" applyBorder="1" applyFont="1">
      <alignment shrinkToFit="0" wrapText="1"/>
    </xf>
    <xf borderId="2" fillId="5" fontId="13" numFmtId="0" xfId="0" applyAlignment="1" applyBorder="1" applyFont="1">
      <alignment readingOrder="0" shrinkToFit="0" wrapText="1"/>
    </xf>
    <xf borderId="2" fillId="5" fontId="1" numFmtId="167" xfId="0" applyAlignment="1" applyBorder="1" applyFont="1" applyNumberFormat="1">
      <alignment shrinkToFit="0" wrapText="1"/>
    </xf>
    <xf borderId="2" fillId="5" fontId="22" numFmtId="0" xfId="0" applyAlignment="1" applyBorder="1" applyFont="1">
      <alignment shrinkToFit="0" wrapText="1"/>
    </xf>
    <xf borderId="2" fillId="4" fontId="13" numFmtId="0" xfId="0" applyAlignment="1" applyBorder="1" applyFont="1">
      <alignment horizontal="right" readingOrder="0" shrinkToFit="0" vertical="bottom" wrapText="1"/>
    </xf>
    <xf borderId="2" fillId="4" fontId="23" numFmtId="0" xfId="0" applyAlignment="1" applyBorder="1" applyFont="1">
      <alignment readingOrder="0" shrinkToFit="0" wrapText="1"/>
    </xf>
    <xf borderId="3" fillId="0" fontId="24" numFmtId="0" xfId="0" applyAlignment="1" applyBorder="1" applyFont="1">
      <alignment shrinkToFit="0" wrapText="1"/>
    </xf>
    <xf borderId="3" fillId="0" fontId="25" numFmtId="167" xfId="0" applyAlignment="1" applyBorder="1" applyFont="1" applyNumberFormat="1">
      <alignment readingOrder="0" shrinkToFit="0" wrapText="1"/>
    </xf>
    <xf borderId="3" fillId="0" fontId="13" numFmtId="167" xfId="0" applyAlignment="1" applyBorder="1" applyFont="1" applyNumberFormat="1">
      <alignment readingOrder="0" shrinkToFit="0" wrapText="1"/>
    </xf>
    <xf borderId="3" fillId="0" fontId="13" numFmtId="166" xfId="0" applyAlignment="1" applyBorder="1" applyFont="1" applyNumberFormat="1">
      <alignment horizontal="right" readingOrder="0" shrinkToFit="0" vertical="bottom" wrapText="1"/>
    </xf>
    <xf borderId="3" fillId="0" fontId="13" numFmtId="0" xfId="0" applyAlignment="1" applyBorder="1" applyFont="1">
      <alignment shrinkToFit="0" wrapText="1"/>
    </xf>
    <xf borderId="3" fillId="0" fontId="13" numFmtId="167" xfId="0" applyAlignment="1" applyBorder="1" applyFont="1" applyNumberFormat="1">
      <alignment shrinkToFit="0" wrapText="1"/>
    </xf>
    <xf borderId="0" fillId="4" fontId="26" numFmtId="167" xfId="0" applyAlignment="1" applyFont="1" applyNumberFormat="1">
      <alignment readingOrder="0" shrinkToFit="0" wrapText="1"/>
    </xf>
    <xf borderId="0" fillId="4" fontId="13" numFmtId="167" xfId="0" applyAlignment="1" applyFont="1" applyNumberFormat="1">
      <alignment readingOrder="0" shrinkToFit="0" wrapText="1"/>
    </xf>
    <xf borderId="1" fillId="4" fontId="13" numFmtId="0" xfId="0" applyAlignment="1" applyBorder="1" applyFont="1">
      <alignment shrinkToFit="0" wrapText="1"/>
    </xf>
    <xf borderId="0" fillId="4" fontId="13" numFmtId="167" xfId="0" applyAlignment="1" applyFont="1" applyNumberFormat="1">
      <alignment horizontal="right" shrinkToFit="0" vertical="bottom" wrapText="1"/>
    </xf>
    <xf borderId="1" fillId="0" fontId="27" numFmtId="167" xfId="0" applyAlignment="1" applyBorder="1" applyFont="1" applyNumberFormat="1">
      <alignment shrinkToFit="0" wrapText="1"/>
    </xf>
    <xf borderId="1" fillId="0" fontId="13" numFmtId="0" xfId="0" applyAlignment="1" applyBorder="1" applyFont="1">
      <alignment horizontal="right" readingOrder="0" shrinkToFit="0" vertical="bottom" wrapText="1"/>
    </xf>
    <xf borderId="2" fillId="0" fontId="1" numFmtId="0" xfId="0" applyAlignment="1" applyBorder="1" applyFont="1">
      <alignment shrinkToFit="0" wrapText="1"/>
    </xf>
    <xf borderId="3" fillId="4" fontId="28" numFmtId="0" xfId="0" applyAlignment="1" applyBorder="1" applyFont="1">
      <alignment shrinkToFit="0" wrapText="1"/>
    </xf>
    <xf borderId="3" fillId="4" fontId="29" numFmtId="167" xfId="0" applyAlignment="1" applyBorder="1" applyFont="1" applyNumberFormat="1">
      <alignment readingOrder="0" shrinkToFit="0" wrapText="1"/>
    </xf>
    <xf borderId="3" fillId="4" fontId="30" numFmtId="167" xfId="0" applyAlignment="1" applyBorder="1" applyFont="1" applyNumberFormat="1">
      <alignment shrinkToFit="0" wrapText="1"/>
    </xf>
    <xf borderId="3" fillId="4" fontId="13" numFmtId="49" xfId="0" applyAlignment="1" applyBorder="1" applyFont="1" applyNumberFormat="1">
      <alignment horizontal="right" readingOrder="0" shrinkToFit="0" vertical="bottom" wrapText="1"/>
    </xf>
    <xf borderId="3" fillId="4" fontId="13" numFmtId="166" xfId="0" applyAlignment="1" applyBorder="1" applyFont="1" applyNumberFormat="1">
      <alignment horizontal="right" readingOrder="0" shrinkToFit="0" vertical="bottom" wrapText="1"/>
    </xf>
    <xf borderId="3" fillId="4" fontId="13" numFmtId="0" xfId="0" applyAlignment="1" applyBorder="1" applyFont="1">
      <alignment readingOrder="0" shrinkToFit="0" wrapText="1"/>
    </xf>
    <xf borderId="3" fillId="4" fontId="13" numFmtId="0" xfId="0" applyAlignment="1" applyBorder="1" applyFont="1">
      <alignment shrinkToFit="0" wrapText="1"/>
    </xf>
    <xf borderId="3" fillId="4" fontId="23" numFmtId="0" xfId="0" applyAlignment="1" applyBorder="1" applyFont="1">
      <alignment horizontal="left" readingOrder="0" shrinkToFit="0" vertical="bottom" wrapText="1"/>
    </xf>
    <xf borderId="3" fillId="4" fontId="13" numFmtId="167" xfId="0" applyAlignment="1" applyBorder="1" applyFont="1" applyNumberFormat="1">
      <alignment shrinkToFit="0" wrapText="1"/>
    </xf>
    <xf borderId="0" fillId="0" fontId="31" numFmtId="0" xfId="0" applyAlignment="1" applyFont="1">
      <alignment shrinkToFit="0" wrapText="1"/>
    </xf>
    <xf borderId="0" fillId="0" fontId="32" numFmtId="167" xfId="0" applyAlignment="1" applyFont="1" applyNumberFormat="1">
      <alignment readingOrder="0" shrinkToFit="0" wrapText="1"/>
    </xf>
    <xf borderId="0" fillId="0" fontId="33" numFmtId="167" xfId="0" applyAlignment="1" applyFont="1" applyNumberFormat="1">
      <alignment shrinkToFit="0" wrapText="1"/>
    </xf>
    <xf borderId="0" fillId="0" fontId="13" numFmtId="49" xfId="0" applyAlignment="1" applyFont="1" applyNumberFormat="1">
      <alignment horizontal="right" readingOrder="0" shrinkToFit="0" vertical="bottom" wrapText="1"/>
    </xf>
    <xf borderId="0" fillId="0" fontId="13" numFmtId="166" xfId="0" applyAlignment="1" applyFont="1" applyNumberFormat="1">
      <alignment horizontal="right" readingOrder="0" shrinkToFit="0" vertical="bottom" wrapText="1"/>
    </xf>
    <xf borderId="0" fillId="0" fontId="13" numFmtId="0" xfId="0" applyAlignment="1" applyFont="1">
      <alignment horizontal="right" readingOrder="0" shrinkToFit="0" vertical="bottom" wrapText="1"/>
    </xf>
    <xf borderId="0" fillId="0" fontId="13" numFmtId="0" xfId="0" applyAlignment="1" applyFont="1">
      <alignment shrinkToFit="0" wrapText="1"/>
    </xf>
    <xf borderId="0" fillId="0" fontId="13" numFmtId="0" xfId="0" applyAlignment="1" applyFont="1">
      <alignment readingOrder="0" shrinkToFit="0" wrapText="1"/>
    </xf>
    <xf borderId="0" fillId="0" fontId="13" numFmtId="167" xfId="0" applyAlignment="1" applyFont="1" applyNumberFormat="1">
      <alignment shrinkToFit="0" wrapText="1"/>
    </xf>
    <xf borderId="1" fillId="4" fontId="34" numFmtId="0" xfId="0" applyAlignment="1" applyBorder="1" applyFont="1">
      <alignment shrinkToFit="0" wrapText="1"/>
    </xf>
    <xf borderId="1" fillId="4" fontId="35" numFmtId="167" xfId="0" applyAlignment="1" applyBorder="1" applyFont="1" applyNumberFormat="1">
      <alignment readingOrder="0" shrinkToFit="0" wrapText="1"/>
    </xf>
    <xf borderId="1" fillId="4" fontId="36" numFmtId="167" xfId="0" applyAlignment="1" applyBorder="1" applyFont="1" applyNumberFormat="1">
      <alignment shrinkToFit="0" wrapText="1"/>
    </xf>
    <xf borderId="1" fillId="4" fontId="13" numFmtId="166" xfId="0" applyAlignment="1" applyBorder="1" applyFont="1" applyNumberFormat="1">
      <alignment horizontal="right" readingOrder="0" shrinkToFit="0" vertical="bottom" wrapText="1"/>
    </xf>
    <xf borderId="1" fillId="4" fontId="13" numFmtId="165" xfId="0" applyAlignment="1" applyBorder="1" applyFont="1" applyNumberFormat="1">
      <alignment horizontal="right" readingOrder="0" shrinkToFit="0" vertical="bottom" wrapText="1"/>
    </xf>
    <xf borderId="1" fillId="4" fontId="13" numFmtId="0" xfId="0" applyAlignment="1" applyBorder="1" applyFont="1">
      <alignment readingOrder="0" shrinkToFit="0" wrapText="1"/>
    </xf>
    <xf borderId="1" fillId="4" fontId="23" numFmtId="0" xfId="0" applyAlignment="1" applyBorder="1" applyFont="1">
      <alignment horizontal="left" readingOrder="0" shrinkToFit="0" vertical="bottom" wrapText="1"/>
    </xf>
    <xf borderId="1" fillId="4" fontId="13" numFmtId="167" xfId="0" applyAlignment="1" applyBorder="1" applyFont="1" applyNumberFormat="1">
      <alignment horizontal="right" shrinkToFit="0" vertical="bottom" wrapText="1"/>
    </xf>
    <xf borderId="3" fillId="0" fontId="37" numFmtId="167" xfId="0" applyAlignment="1" applyBorder="1" applyFont="1" applyNumberFormat="1">
      <alignment shrinkToFit="0" wrapText="1"/>
    </xf>
    <xf borderId="0" fillId="4" fontId="38" numFmtId="167" xfId="0" applyAlignment="1" applyFont="1" applyNumberFormat="1">
      <alignment shrinkToFit="0" wrapText="1"/>
    </xf>
    <xf borderId="0" fillId="0" fontId="13" numFmtId="167" xfId="0" applyAlignment="1" applyFont="1" applyNumberFormat="1">
      <alignment readingOrder="0" shrinkToFit="0" wrapText="1"/>
    </xf>
    <xf borderId="0" fillId="0" fontId="39" numFmtId="49" xfId="0" applyAlignment="1" applyFont="1" applyNumberFormat="1">
      <alignment readingOrder="0" shrinkToFit="0" wrapText="1"/>
    </xf>
    <xf borderId="0" fillId="0" fontId="13" numFmtId="167" xfId="0" applyAlignment="1" applyFont="1" applyNumberFormat="1">
      <alignment horizontal="right" shrinkToFit="0" vertical="bottom" wrapText="1"/>
    </xf>
    <xf borderId="0" fillId="4" fontId="13" numFmtId="168" xfId="0" applyAlignment="1" applyFont="1" applyNumberFormat="1">
      <alignment shrinkToFit="0" wrapText="1"/>
    </xf>
    <xf borderId="0" fillId="0" fontId="13" numFmtId="166" xfId="0" applyAlignment="1" applyFont="1" applyNumberFormat="1">
      <alignment readingOrder="0" shrinkToFit="0" wrapText="1"/>
    </xf>
    <xf borderId="0" fillId="0" fontId="1" numFmtId="168" xfId="0" applyAlignment="1" applyFont="1" applyNumberFormat="1">
      <alignment shrinkToFit="0" wrapText="1"/>
    </xf>
    <xf borderId="0" fillId="4" fontId="13" numFmtId="0" xfId="0" applyAlignment="1" applyFont="1">
      <alignment horizontal="right" readingOrder="0" shrinkToFit="0" vertical="bottom" wrapText="1"/>
    </xf>
    <xf borderId="0" fillId="6" fontId="40" numFmtId="0" xfId="0" applyAlignment="1" applyFill="1" applyFont="1">
      <alignment horizontal="center" readingOrder="0" shrinkToFit="0" vertical="bottom" wrapText="1"/>
    </xf>
    <xf borderId="0" fillId="6" fontId="13" numFmtId="167" xfId="0" applyAlignment="1" applyFont="1" applyNumberFormat="1">
      <alignment shrinkToFit="0" wrapText="1"/>
    </xf>
    <xf borderId="0" fillId="6" fontId="13" numFmtId="165" xfId="0" applyAlignment="1" applyFont="1" applyNumberFormat="1">
      <alignment horizontal="right" shrinkToFit="0" vertical="bottom" wrapText="1"/>
    </xf>
    <xf borderId="0" fillId="6" fontId="13" numFmtId="0" xfId="0" applyAlignment="1" applyFont="1">
      <alignment shrinkToFit="0" wrapText="1"/>
    </xf>
    <xf borderId="0" fillId="6" fontId="2" numFmtId="0" xfId="0" applyAlignment="1" applyFont="1">
      <alignment horizontal="right" shrinkToFit="0" vertical="bottom" wrapText="1"/>
    </xf>
    <xf borderId="0" fillId="6" fontId="2" numFmtId="167" xfId="0" applyAlignment="1" applyFont="1" applyNumberFormat="1">
      <alignment shrinkToFit="0" wrapText="1"/>
    </xf>
    <xf borderId="0" fillId="0" fontId="13" numFmtId="168" xfId="0" applyAlignment="1" applyFont="1" applyNumberFormat="1">
      <alignment shrinkToFit="0" wrapText="1"/>
    </xf>
    <xf borderId="0" fillId="0" fontId="41" numFmtId="0" xfId="0" applyAlignment="1" applyFont="1">
      <alignment readingOrder="0" shrinkToFit="0" wrapText="1"/>
    </xf>
    <xf borderId="0" fillId="0" fontId="42" numFmtId="167" xfId="0" applyAlignment="1" applyFont="1" applyNumberFormat="1">
      <alignment readingOrder="0" shrinkToFit="0" wrapText="1"/>
    </xf>
    <xf borderId="0" fillId="0" fontId="41" numFmtId="167" xfId="0" applyAlignment="1" applyFont="1" applyNumberFormat="1">
      <alignment readingOrder="0" shrinkToFit="0" wrapText="1"/>
    </xf>
    <xf borderId="0" fillId="0" fontId="41" numFmtId="49" xfId="0" applyAlignment="1" applyFont="1" applyNumberFormat="1">
      <alignment horizontal="right" readingOrder="0" shrinkToFit="0" vertical="bottom" wrapText="1"/>
    </xf>
    <xf borderId="0" fillId="0" fontId="41" numFmtId="166" xfId="0" applyAlignment="1" applyFont="1" applyNumberFormat="1">
      <alignment horizontal="right" readingOrder="0" shrinkToFit="0" vertical="bottom" wrapText="1"/>
    </xf>
    <xf borderId="0" fillId="0" fontId="41" numFmtId="0" xfId="0" applyAlignment="1" applyFont="1">
      <alignment shrinkToFit="0" wrapText="1"/>
    </xf>
    <xf borderId="0" fillId="0" fontId="41" numFmtId="168" xfId="0" applyAlignment="1" applyFont="1" applyNumberFormat="1">
      <alignment shrinkToFit="0" wrapText="1"/>
    </xf>
    <xf borderId="0" fillId="0" fontId="43" numFmtId="0" xfId="0" applyAlignment="1" applyFont="1">
      <alignment shrinkToFit="0" wrapText="1"/>
    </xf>
    <xf borderId="1" fillId="4" fontId="13" numFmtId="167" xfId="0" applyAlignment="1" applyBorder="1" applyFont="1" applyNumberFormat="1">
      <alignment readingOrder="0" shrinkToFit="0" wrapText="1"/>
    </xf>
    <xf borderId="1" fillId="4" fontId="13" numFmtId="168" xfId="0" applyAlignment="1" applyBorder="1" applyFont="1" applyNumberFormat="1">
      <alignment shrinkToFit="0" wrapText="1"/>
    </xf>
    <xf borderId="3" fillId="0" fontId="13" numFmtId="0" xfId="0" applyAlignment="1" applyBorder="1" applyFont="1">
      <alignment horizontal="right" shrinkToFit="0" vertical="bottom" wrapText="1"/>
    </xf>
    <xf borderId="3" fillId="0" fontId="23" numFmtId="0" xfId="0" applyAlignment="1" applyBorder="1" applyFont="1">
      <alignment shrinkToFit="0" wrapText="1"/>
    </xf>
    <xf borderId="3" fillId="0" fontId="23" numFmtId="168" xfId="0" applyAlignment="1" applyBorder="1" applyFont="1" applyNumberFormat="1">
      <alignment horizontal="right" shrinkToFit="0" vertical="bottom" wrapText="1"/>
    </xf>
    <xf borderId="0" fillId="4" fontId="1" numFmtId="0" xfId="0" applyAlignment="1" applyFont="1">
      <alignment shrinkToFit="0" wrapText="1"/>
    </xf>
    <xf borderId="1" fillId="0" fontId="13" numFmtId="49" xfId="0" applyAlignment="1" applyBorder="1" applyFont="1" applyNumberFormat="1">
      <alignment horizontal="right" readingOrder="0" shrinkToFit="0" vertical="bottom" wrapText="1"/>
    </xf>
    <xf borderId="1" fillId="0" fontId="13" numFmtId="168" xfId="0" applyAlignment="1" applyBorder="1" applyFont="1" applyNumberFormat="1">
      <alignment shrinkToFit="0" wrapText="1"/>
    </xf>
    <xf borderId="3" fillId="4" fontId="13" numFmtId="168" xfId="0" applyAlignment="1" applyBorder="1" applyFont="1" applyNumberFormat="1">
      <alignment shrinkToFit="0" wrapText="1"/>
    </xf>
    <xf borderId="0" fillId="0" fontId="44" numFmtId="0" xfId="0" applyAlignment="1" applyFont="1">
      <alignment readingOrder="0" shrinkToFit="0" wrapText="1"/>
    </xf>
    <xf borderId="0" fillId="0" fontId="45" numFmtId="167" xfId="0" applyAlignment="1" applyFont="1" applyNumberFormat="1">
      <alignment horizontal="left" shrinkToFit="0" vertical="bottom" wrapText="1"/>
    </xf>
    <xf borderId="0" fillId="0" fontId="13" numFmtId="169" xfId="0" applyAlignment="1" applyFont="1" applyNumberFormat="1">
      <alignment horizontal="right" shrinkToFit="0" vertical="bottom" wrapText="1"/>
    </xf>
    <xf borderId="0" fillId="0" fontId="13" numFmtId="169" xfId="0" applyAlignment="1" applyFont="1" applyNumberFormat="1">
      <alignment readingOrder="0" shrinkToFit="0" wrapText="1"/>
    </xf>
    <xf borderId="0" fillId="4" fontId="1" numFmtId="168" xfId="0" applyAlignment="1" applyFont="1" applyNumberFormat="1">
      <alignment shrinkToFit="0" wrapText="1"/>
    </xf>
    <xf borderId="1" fillId="4" fontId="46" numFmtId="0" xfId="0" applyAlignment="1" applyBorder="1" applyFont="1">
      <alignment readingOrder="0" shrinkToFit="0" wrapText="1"/>
    </xf>
    <xf borderId="1" fillId="4" fontId="47" numFmtId="167" xfId="0" applyAlignment="1" applyBorder="1" applyFont="1" applyNumberFormat="1">
      <alignment horizontal="left" shrinkToFit="0" vertical="bottom" wrapText="1"/>
    </xf>
    <xf borderId="1" fillId="4" fontId="13" numFmtId="49" xfId="0" applyAlignment="1" applyBorder="1" applyFont="1" applyNumberFormat="1">
      <alignment horizontal="right" readingOrder="0" shrinkToFit="0" vertical="bottom" wrapText="1"/>
    </xf>
    <xf borderId="1" fillId="4" fontId="13" numFmtId="166" xfId="0" applyAlignment="1" applyBorder="1" applyFont="1" applyNumberFormat="1">
      <alignment readingOrder="0" shrinkToFit="0" wrapText="1"/>
    </xf>
    <xf borderId="1" fillId="4" fontId="13" numFmtId="169" xfId="0" applyAlignment="1" applyBorder="1" applyFont="1" applyNumberFormat="1">
      <alignment shrinkToFit="0" wrapText="1"/>
    </xf>
    <xf borderId="1" fillId="4" fontId="1" numFmtId="0" xfId="0" applyAlignment="1" applyBorder="1" applyFont="1">
      <alignment shrinkToFit="0" wrapText="1"/>
    </xf>
    <xf borderId="3" fillId="0" fontId="48" numFmtId="0" xfId="0" applyAlignment="1" applyBorder="1" applyFont="1">
      <alignment readingOrder="0" shrinkToFit="0" wrapText="1"/>
    </xf>
    <xf borderId="3" fillId="0" fontId="13" numFmtId="165" xfId="0" applyAlignment="1" applyBorder="1" applyFont="1" applyNumberFormat="1">
      <alignment horizontal="right" readingOrder="0" shrinkToFit="0" vertical="bottom" wrapText="1"/>
    </xf>
    <xf borderId="3" fillId="0" fontId="13" numFmtId="168" xfId="0" applyAlignment="1" applyBorder="1" applyFont="1" applyNumberFormat="1">
      <alignment shrinkToFit="0" wrapText="1"/>
    </xf>
    <xf borderId="0" fillId="0" fontId="49" numFmtId="0" xfId="0" applyAlignment="1" applyFont="1">
      <alignment shrinkToFit="0" wrapText="1"/>
    </xf>
    <xf borderId="0" fillId="0" fontId="13" numFmtId="169" xfId="0" applyAlignment="1" applyFont="1" applyNumberFormat="1">
      <alignment shrinkToFit="0" wrapText="1"/>
    </xf>
    <xf borderId="3" fillId="0" fontId="50" numFmtId="0" xfId="0" applyAlignment="1" applyBorder="1" applyFont="1">
      <alignment shrinkToFit="0" wrapText="1"/>
    </xf>
    <xf borderId="3" fillId="0" fontId="13" numFmtId="0" xfId="0" applyAlignment="1" applyBorder="1" applyFont="1">
      <alignment readingOrder="0" shrinkToFit="0" wrapText="1"/>
    </xf>
    <xf borderId="0" fillId="0" fontId="13" numFmtId="0" xfId="0" applyAlignment="1" applyFont="1">
      <alignment horizontal="right" shrinkToFit="0" vertical="bottom" wrapText="1"/>
    </xf>
    <xf borderId="0" fillId="0" fontId="13" numFmtId="165" xfId="0" applyAlignment="1" applyFont="1" applyNumberFormat="1">
      <alignment horizontal="right" shrinkToFit="0" vertical="bottom" wrapText="1"/>
    </xf>
    <xf borderId="0" fillId="2" fontId="51" numFmtId="49" xfId="0" applyAlignment="1" applyFont="1" applyNumberFormat="1">
      <alignment readingOrder="0" shrinkToFit="0" wrapText="1"/>
    </xf>
    <xf borderId="0" fillId="2" fontId="52" numFmtId="0" xfId="0" applyAlignment="1" applyFont="1">
      <alignment shrinkToFit="0" wrapText="1"/>
    </xf>
    <xf borderId="0" fillId="2" fontId="52" numFmtId="167" xfId="0" applyAlignment="1" applyFont="1" applyNumberFormat="1">
      <alignment shrinkToFit="0" wrapText="1"/>
    </xf>
    <xf borderId="0" fillId="2" fontId="52" numFmtId="165" xfId="0" applyAlignment="1" applyFont="1" applyNumberFormat="1">
      <alignment horizontal="right" shrinkToFit="0" vertical="bottom" wrapText="1"/>
    </xf>
    <xf borderId="0" fillId="2" fontId="52" numFmtId="168" xfId="0" applyAlignment="1" applyFont="1" applyNumberFormat="1">
      <alignment shrinkToFit="0" wrapText="1"/>
    </xf>
    <xf borderId="0" fillId="4" fontId="13" numFmtId="165" xfId="0" applyAlignment="1" applyFont="1" applyNumberFormat="1">
      <alignment horizontal="right" shrinkToFit="0" vertical="bottom" wrapText="1"/>
    </xf>
    <xf borderId="0" fillId="0" fontId="53" numFmtId="0" xfId="0" applyAlignment="1" applyFont="1">
      <alignment readingOrder="0" shrinkToFit="0" wrapText="1"/>
    </xf>
    <xf borderId="0" fillId="0" fontId="1" numFmtId="167" xfId="0" applyAlignment="1" applyFont="1" applyNumberFormat="1">
      <alignment shrinkToFit="0" wrapText="1"/>
    </xf>
    <xf borderId="4" fillId="2" fontId="51" numFmtId="49" xfId="0" applyAlignment="1" applyBorder="1" applyFont="1" applyNumberFormat="1">
      <alignment readingOrder="0" shrinkToFit="0" wrapText="1"/>
    </xf>
    <xf borderId="4" fillId="2" fontId="52" numFmtId="0" xfId="0" applyAlignment="1" applyBorder="1" applyFont="1">
      <alignment shrinkToFit="0" wrapText="1"/>
    </xf>
    <xf borderId="4" fillId="2" fontId="52" numFmtId="165" xfId="0" applyAlignment="1" applyBorder="1" applyFont="1" applyNumberFormat="1">
      <alignment horizontal="right" shrinkToFit="0" vertical="bottom" wrapText="1"/>
    </xf>
    <xf borderId="4" fillId="2" fontId="52" numFmtId="168" xfId="0" applyAlignment="1" applyBorder="1" applyFont="1" applyNumberFormat="1">
      <alignment shrinkToFit="0" wrapText="1"/>
    </xf>
    <xf borderId="5" fillId="4" fontId="54" numFmtId="0" xfId="0" applyAlignment="1" applyBorder="1" applyFont="1">
      <alignment shrinkToFit="0" wrapText="1"/>
    </xf>
    <xf borderId="5" fillId="4" fontId="55" numFmtId="0" xfId="0" applyAlignment="1" applyBorder="1" applyFont="1">
      <alignment readingOrder="0" shrinkToFit="0" wrapText="1"/>
    </xf>
    <xf borderId="5" fillId="4" fontId="13" numFmtId="166" xfId="0" applyAlignment="1" applyBorder="1" applyFont="1" applyNumberFormat="1">
      <alignment horizontal="right" readingOrder="0" shrinkToFit="0" vertical="bottom" wrapText="1"/>
    </xf>
    <xf borderId="5" fillId="4" fontId="13" numFmtId="0" xfId="0" applyAlignment="1" applyBorder="1" applyFont="1">
      <alignment shrinkToFit="0" wrapText="1"/>
    </xf>
    <xf borderId="5" fillId="4" fontId="13" numFmtId="168" xfId="0" applyAlignment="1" applyBorder="1" applyFont="1" applyNumberFormat="1">
      <alignment shrinkToFit="0" wrapText="1"/>
    </xf>
    <xf borderId="0" fillId="4" fontId="13" numFmtId="49" xfId="0" applyAlignment="1" applyFont="1" applyNumberFormat="1">
      <alignment horizontal="right" readingOrder="0" shrinkToFit="0" vertical="bottom" wrapText="1"/>
    </xf>
    <xf borderId="0" fillId="4" fontId="13" numFmtId="0" xfId="0" applyAlignment="1" applyFont="1">
      <alignment horizontal="right" shrinkToFit="0" vertical="bottom" wrapText="1"/>
    </xf>
    <xf borderId="0" fillId="4" fontId="23" numFmtId="0" xfId="0" applyAlignment="1" applyFont="1">
      <alignment shrinkToFit="0" wrapText="1"/>
    </xf>
    <xf borderId="0" fillId="4" fontId="13" numFmtId="168" xfId="0" applyAlignment="1" applyFont="1" applyNumberFormat="1">
      <alignment horizontal="right" shrinkToFit="0" vertical="bottom" wrapText="1"/>
    </xf>
    <xf borderId="0" fillId="0" fontId="13" numFmtId="167" xfId="0" applyAlignment="1" applyFont="1" applyNumberFormat="1">
      <alignment horizontal="left" readingOrder="0" shrinkToFit="0" vertical="bottom" wrapText="1"/>
    </xf>
    <xf borderId="0" fillId="0" fontId="52" numFmtId="0" xfId="0" applyAlignment="1" applyFont="1">
      <alignment shrinkToFit="0" wrapText="1"/>
    </xf>
    <xf borderId="0" fillId="4" fontId="56" numFmtId="0" xfId="0" applyAlignment="1" applyFont="1">
      <alignment readingOrder="0" shrinkToFit="0" wrapText="1"/>
    </xf>
    <xf borderId="0" fillId="0" fontId="51" numFmtId="0" xfId="0" applyAlignment="1" applyFont="1">
      <alignment shrinkToFit="0" wrapText="1"/>
    </xf>
    <xf borderId="0" fillId="0" fontId="52" numFmtId="167" xfId="0" applyAlignment="1" applyFont="1" applyNumberFormat="1">
      <alignment shrinkToFit="0" wrapText="1"/>
    </xf>
    <xf borderId="0" fillId="0" fontId="52" numFmtId="165" xfId="0" applyAlignment="1" applyFont="1" applyNumberFormat="1">
      <alignment horizontal="right" shrinkToFit="0" vertical="bottom" wrapText="1"/>
    </xf>
    <xf borderId="0" fillId="0" fontId="52" numFmtId="168" xfId="0" applyAlignment="1" applyFont="1" applyNumberFormat="1">
      <alignment shrinkToFit="0" wrapText="1"/>
    </xf>
    <xf borderId="4" fillId="2" fontId="52" numFmtId="167" xfId="0" applyAlignment="1" applyBorder="1" applyFont="1" applyNumberFormat="1">
      <alignment shrinkToFit="0" wrapText="1"/>
    </xf>
    <xf borderId="5" fillId="4" fontId="13" numFmtId="0" xfId="0" applyAlignment="1" applyBorder="1" applyFont="1">
      <alignment readingOrder="0" shrinkToFit="0" wrapText="1"/>
    </xf>
    <xf borderId="5" fillId="4" fontId="57" numFmtId="167" xfId="0" applyAlignment="1" applyBorder="1" applyFont="1" applyNumberFormat="1">
      <alignment shrinkToFit="0" wrapText="1"/>
    </xf>
    <xf borderId="5" fillId="4" fontId="13" numFmtId="49" xfId="0" applyAlignment="1" applyBorder="1" applyFont="1" applyNumberFormat="1">
      <alignment horizontal="right" readingOrder="0" shrinkToFit="0" vertical="bottom" wrapText="1"/>
    </xf>
    <xf borderId="5" fillId="4" fontId="13" numFmtId="165" xfId="0" applyAlignment="1" applyBorder="1" applyFont="1" applyNumberFormat="1">
      <alignment horizontal="right" shrinkToFit="0" vertical="bottom" wrapText="1"/>
    </xf>
    <xf borderId="0" fillId="2" fontId="51" numFmtId="0" xfId="0" applyAlignment="1" applyFont="1">
      <alignment readingOrder="0" shrinkToFit="0" wrapText="1"/>
    </xf>
    <xf borderId="0" fillId="3" fontId="58" numFmtId="0" xfId="0" applyAlignment="1" applyFont="1">
      <alignment horizontal="left" readingOrder="0" shrinkToFit="0" vertical="bottom" wrapText="1"/>
    </xf>
    <xf borderId="0" fillId="3" fontId="59" numFmtId="0" xfId="0" applyAlignment="1" applyFont="1">
      <alignment horizontal="center" readingOrder="0" shrinkToFit="0" vertical="bottom" wrapText="1"/>
    </xf>
    <xf borderId="0" fillId="3" fontId="59" numFmtId="165" xfId="0" applyAlignment="1" applyFont="1" applyNumberFormat="1">
      <alignment horizontal="center" readingOrder="0" shrinkToFit="0" vertical="bottom" wrapText="1"/>
    </xf>
    <xf borderId="0" fillId="2" fontId="60" numFmtId="0" xfId="0" applyAlignment="1" applyFont="1">
      <alignment horizontal="center" readingOrder="0" shrinkToFit="0" vertical="bottom" wrapText="1"/>
    </xf>
    <xf borderId="0" fillId="2" fontId="61" numFmtId="0" xfId="0" applyAlignment="1" applyFont="1">
      <alignment shrinkToFit="0" wrapText="1"/>
    </xf>
    <xf borderId="0" fillId="2" fontId="62" numFmtId="0" xfId="0" applyAlignment="1" applyFont="1">
      <alignment shrinkToFit="0" wrapText="1"/>
    </xf>
    <xf borderId="0" fillId="2" fontId="61" numFmtId="165" xfId="0" applyAlignment="1" applyFont="1" applyNumberFormat="1">
      <alignment horizontal="center" shrinkToFit="0" vertical="bottom" wrapText="1"/>
    </xf>
    <xf borderId="0" fillId="2" fontId="63" numFmtId="165" xfId="0" applyAlignment="1" applyFont="1" applyNumberFormat="1">
      <alignment horizontal="center" shrinkToFit="0" vertical="bottom" wrapText="1"/>
    </xf>
    <xf borderId="0" fillId="4" fontId="64" numFmtId="0" xfId="0" applyAlignment="1" applyFont="1">
      <alignment readingOrder="0" shrinkToFit="0" wrapText="1"/>
    </xf>
    <xf borderId="0" fillId="4" fontId="64" numFmtId="0" xfId="0" applyAlignment="1" applyFont="1">
      <alignment shrinkToFit="0" wrapText="1"/>
    </xf>
    <xf borderId="0" fillId="4" fontId="65" numFmtId="0" xfId="0" applyAlignment="1" applyFont="1">
      <alignment shrinkToFit="0" wrapText="1"/>
    </xf>
    <xf borderId="0" fillId="6" fontId="64" numFmtId="0" xfId="0" applyAlignment="1" applyFont="1">
      <alignment readingOrder="0" shrinkToFit="0" wrapText="1"/>
    </xf>
    <xf borderId="0" fillId="4" fontId="64" numFmtId="165" xfId="0" applyAlignment="1" applyFont="1" applyNumberFormat="1">
      <alignment horizontal="center" shrinkToFit="0" vertical="bottom" wrapText="1"/>
    </xf>
    <xf borderId="0" fillId="4" fontId="66" numFmtId="165" xfId="0" applyAlignment="1" applyFont="1" applyNumberFormat="1">
      <alignment horizontal="center" shrinkToFit="0" vertical="bottom" wrapText="1"/>
    </xf>
    <xf borderId="0" fillId="0" fontId="64" numFmtId="0" xfId="0" applyAlignment="1" applyFont="1">
      <alignment horizontal="left" readingOrder="0" shrinkToFit="0" vertical="bottom" wrapText="1"/>
    </xf>
    <xf borderId="0" fillId="0" fontId="64" numFmtId="0" xfId="0" applyAlignment="1" applyFont="1">
      <alignment shrinkToFit="0" wrapText="1"/>
    </xf>
    <xf borderId="0" fillId="0" fontId="65" numFmtId="0" xfId="0" applyAlignment="1" applyFont="1">
      <alignment shrinkToFit="0" wrapText="1"/>
    </xf>
    <xf borderId="0" fillId="0" fontId="64" numFmtId="165" xfId="0" applyAlignment="1" applyFont="1" applyNumberFormat="1">
      <alignment horizontal="center" shrinkToFit="0" vertical="bottom" wrapText="1"/>
    </xf>
    <xf borderId="0" fillId="0" fontId="64" numFmtId="0" xfId="0" applyAlignment="1" applyFont="1">
      <alignment readingOrder="0" shrinkToFit="0" wrapText="1"/>
    </xf>
    <xf borderId="0" fillId="0" fontId="66" numFmtId="165" xfId="0" applyAlignment="1" applyFont="1" applyNumberFormat="1">
      <alignment horizontal="center" shrinkToFit="0" vertical="bottom" wrapText="1"/>
    </xf>
    <xf borderId="0" fillId="4" fontId="64" numFmtId="0" xfId="0" applyAlignment="1" applyFont="1">
      <alignment horizontal="left" readingOrder="0" shrinkToFit="0" vertical="bottom" wrapText="1"/>
    </xf>
    <xf borderId="0" fillId="3" fontId="64" numFmtId="0" xfId="0" applyAlignment="1" applyFont="1">
      <alignment readingOrder="0" shrinkToFit="0" wrapText="1"/>
    </xf>
    <xf borderId="0" fillId="0" fontId="65" numFmtId="0" xfId="0" applyAlignment="1" applyFont="1">
      <alignment readingOrder="0" shrinkToFit="0" wrapText="1"/>
    </xf>
    <xf borderId="0" fillId="4" fontId="65" numFmtId="0" xfId="0" applyAlignment="1" applyFont="1">
      <alignment readingOrder="0" shrinkToFit="0" wrapText="1"/>
    </xf>
    <xf borderId="0" fillId="3" fontId="67" numFmtId="0" xfId="0" applyAlignment="1" applyFont="1">
      <alignment horizontal="center" readingOrder="0" shrinkToFit="0" vertical="bottom" wrapText="1"/>
    </xf>
    <xf borderId="0" fillId="3" fontId="61" numFmtId="0" xfId="0" applyAlignment="1" applyFont="1">
      <alignment shrinkToFit="0" wrapText="1"/>
    </xf>
    <xf borderId="0" fillId="3" fontId="62" numFmtId="0" xfId="0" applyAlignment="1" applyFont="1">
      <alignment shrinkToFit="0" wrapText="1"/>
    </xf>
    <xf borderId="0" fillId="3" fontId="61" numFmtId="165" xfId="0" applyAlignment="1" applyFont="1" applyNumberFormat="1">
      <alignment horizontal="center" shrinkToFit="0" vertical="bottom" wrapText="1"/>
    </xf>
    <xf borderId="0" fillId="3" fontId="63" numFmtId="165" xfId="0" applyAlignment="1" applyFont="1" applyNumberFormat="1">
      <alignment horizontal="center" shrinkToFit="0" vertical="bottom" wrapText="1"/>
    </xf>
    <xf borderId="0" fillId="0" fontId="61" numFmtId="0" xfId="0" applyAlignment="1" applyFont="1">
      <alignment horizontal="left" readingOrder="0" shrinkToFit="0" vertical="bottom" wrapText="1"/>
    </xf>
    <xf borderId="0" fillId="0" fontId="61" numFmtId="0" xfId="0" applyAlignment="1" applyFont="1">
      <alignment readingOrder="0" shrinkToFit="0" wrapText="1"/>
    </xf>
    <xf borderId="0" fillId="0" fontId="61" numFmtId="0" xfId="0" applyAlignment="1" applyFont="1">
      <alignment shrinkToFit="0" wrapText="1"/>
    </xf>
    <xf borderId="0" fillId="0" fontId="62" numFmtId="0" xfId="0" applyAlignment="1" applyFont="1">
      <alignment shrinkToFit="0" wrapText="1"/>
    </xf>
    <xf borderId="0" fillId="0" fontId="62" numFmtId="0" xfId="0" applyAlignment="1" applyFont="1">
      <alignment readingOrder="0" shrinkToFit="0" wrapText="1"/>
    </xf>
    <xf borderId="0" fillId="3" fontId="61" numFmtId="0" xfId="0" applyAlignment="1" applyFont="1">
      <alignment readingOrder="0" shrinkToFit="0" wrapText="1"/>
    </xf>
    <xf borderId="0" fillId="0" fontId="61" numFmtId="165" xfId="0" applyAlignment="1" applyFont="1" applyNumberFormat="1">
      <alignment horizontal="center" shrinkToFit="0" vertical="bottom" wrapText="1"/>
    </xf>
    <xf borderId="0" fillId="0" fontId="63" numFmtId="165" xfId="0" applyAlignment="1" applyFont="1" applyNumberFormat="1">
      <alignment horizontal="center" shrinkToFit="0" vertical="bottom" wrapText="1"/>
    </xf>
    <xf borderId="0" fillId="4" fontId="61" numFmtId="0" xfId="0" applyAlignment="1" applyFont="1">
      <alignment horizontal="left" readingOrder="0" shrinkToFit="0" vertical="bottom" wrapText="1"/>
    </xf>
    <xf borderId="0" fillId="4" fontId="61" numFmtId="0" xfId="0" applyAlignment="1" applyFont="1">
      <alignment shrinkToFit="0" wrapText="1"/>
    </xf>
    <xf borderId="0" fillId="4" fontId="62" numFmtId="0" xfId="0" applyAlignment="1" applyFont="1">
      <alignment shrinkToFit="0" wrapText="1"/>
    </xf>
    <xf borderId="0" fillId="4" fontId="61" numFmtId="165" xfId="0" applyAlignment="1" applyFont="1" applyNumberFormat="1">
      <alignment horizontal="center" shrinkToFit="0" vertical="bottom" wrapText="1"/>
    </xf>
    <xf borderId="0" fillId="4" fontId="61" numFmtId="0" xfId="0" applyAlignment="1" applyFont="1">
      <alignment readingOrder="0" shrinkToFit="0" wrapText="1"/>
    </xf>
    <xf borderId="0" fillId="4" fontId="63" numFmtId="165" xfId="0" applyAlignment="1" applyFont="1" applyNumberFormat="1">
      <alignment horizontal="center" shrinkToFit="0" vertical="bottom" wrapText="1"/>
    </xf>
    <xf borderId="0" fillId="4" fontId="62" numFmtId="0" xfId="0" applyAlignment="1" applyFont="1">
      <alignment readingOrder="0" shrinkToFit="0" wrapText="1"/>
    </xf>
    <xf borderId="0" fillId="4" fontId="61" numFmtId="0" xfId="0" applyAlignment="1" applyFont="1">
      <alignment horizontal="right" readingOrder="0" shrinkToFit="0" vertical="bottom" wrapText="1"/>
    </xf>
    <xf borderId="0" fillId="4" fontId="68" numFmtId="0" xfId="0" applyAlignment="1" applyFont="1">
      <alignment readingOrder="0" shrinkToFit="0" wrapText="1"/>
    </xf>
    <xf borderId="0" fillId="6" fontId="61" numFmtId="0" xfId="0" applyAlignment="1" applyFont="1">
      <alignment horizontal="right" readingOrder="0" shrinkToFit="0" vertical="bottom" wrapText="1"/>
    </xf>
    <xf borderId="0" fillId="3" fontId="61" numFmtId="0" xfId="0" applyAlignment="1" applyFont="1">
      <alignment horizontal="right" readingOrder="0" shrinkToFit="0" vertical="bottom" wrapText="1"/>
    </xf>
    <xf borderId="0" fillId="5" fontId="61" numFmtId="0" xfId="0" applyAlignment="1" applyFont="1">
      <alignment horizontal="right" readingOrder="0" shrinkToFit="0" vertical="bottom" wrapText="1"/>
    </xf>
    <xf borderId="0" fillId="5" fontId="61" numFmtId="165" xfId="0" applyAlignment="1" applyFont="1" applyNumberFormat="1">
      <alignment shrinkToFit="0" wrapText="1"/>
    </xf>
    <xf borderId="0" fillId="5" fontId="61" numFmtId="0" xfId="0" applyAlignment="1" applyFont="1">
      <alignment shrinkToFit="0" wrapText="1"/>
    </xf>
    <xf borderId="0" fillId="5" fontId="62" numFmtId="0" xfId="0" applyAlignment="1" applyFont="1">
      <alignment shrinkToFit="0" wrapText="1"/>
    </xf>
    <xf borderId="0" fillId="5" fontId="61" numFmtId="165" xfId="0" applyAlignment="1" applyFont="1" applyNumberFormat="1">
      <alignment horizontal="center" shrinkToFit="0" vertical="bottom" wrapText="1"/>
    </xf>
    <xf borderId="0" fillId="5" fontId="63" numFmtId="165" xfId="0" applyAlignment="1" applyFont="1" applyNumberFormat="1">
      <alignment horizontal="center" shrinkToFit="0" vertical="bottom" wrapText="1"/>
    </xf>
    <xf borderId="0" fillId="2" fontId="69" numFmtId="0" xfId="0" applyAlignment="1" applyFont="1">
      <alignment horizontal="center" readingOrder="0" shrinkToFit="0" vertical="center" wrapText="1"/>
    </xf>
    <xf borderId="0" fillId="2" fontId="70" numFmtId="167" xfId="0" applyAlignment="1" applyFont="1" applyNumberFormat="1">
      <alignment shrinkToFit="0" vertical="center" wrapText="1"/>
    </xf>
    <xf borderId="0" fillId="2" fontId="70" numFmtId="0" xfId="0" applyAlignment="1" applyFont="1">
      <alignment horizontal="center" readingOrder="0" shrinkToFit="0" vertical="center" wrapText="1"/>
    </xf>
    <xf borderId="0" fillId="2" fontId="71" numFmtId="0" xfId="0" applyAlignment="1" applyFont="1">
      <alignment horizontal="right" shrinkToFit="0" vertical="center" wrapText="1"/>
    </xf>
    <xf borderId="0" fillId="6" fontId="70" numFmtId="0" xfId="0" applyAlignment="1" applyFont="1">
      <alignment horizontal="right" readingOrder="0" shrinkToFit="0" vertical="center" wrapText="1"/>
    </xf>
    <xf borderId="0" fillId="6" fontId="70" numFmtId="167" xfId="0" applyAlignment="1" applyFont="1" applyNumberFormat="1">
      <alignment horizontal="right" shrinkToFit="0" vertical="center" wrapText="1"/>
    </xf>
    <xf borderId="0" fillId="6" fontId="70" numFmtId="0" xfId="0" applyAlignment="1" applyFont="1">
      <alignment horizontal="center" readingOrder="0" shrinkToFit="0" vertical="center" wrapText="1"/>
    </xf>
    <xf borderId="0" fillId="6" fontId="70" numFmtId="0" xfId="0" applyAlignment="1" applyFont="1">
      <alignment horizontal="right" shrinkToFit="0" vertical="center" wrapText="1"/>
    </xf>
    <xf borderId="0" fillId="4" fontId="72" numFmtId="0" xfId="0" applyAlignment="1" applyFont="1">
      <alignment horizontal="right" readingOrder="0" shrinkToFit="0" vertical="center" wrapText="1"/>
    </xf>
    <xf borderId="0" fillId="4" fontId="72" numFmtId="167" xfId="0" applyAlignment="1" applyFont="1" applyNumberFormat="1">
      <alignment horizontal="right" shrinkToFit="0" vertical="center" wrapText="1"/>
    </xf>
    <xf borderId="0" fillId="4" fontId="73" numFmtId="0" xfId="0" applyAlignment="1" applyFont="1">
      <alignment shrinkToFit="0" vertical="center" wrapText="1"/>
    </xf>
    <xf borderId="0" fillId="4" fontId="73" numFmtId="0" xfId="0" applyAlignment="1" applyFont="1">
      <alignment horizontal="right" shrinkToFit="0" vertical="center" wrapText="1"/>
    </xf>
    <xf borderId="0" fillId="0" fontId="74" numFmtId="0" xfId="0" applyAlignment="1" applyFont="1">
      <alignment horizontal="right" shrinkToFit="0" vertical="center" wrapText="1"/>
    </xf>
    <xf borderId="0" fillId="0" fontId="72" numFmtId="167" xfId="0" applyAlignment="1" applyFont="1" applyNumberFormat="1">
      <alignment horizontal="right" shrinkToFit="0" vertical="center" wrapText="1"/>
    </xf>
    <xf borderId="0" fillId="0" fontId="73" numFmtId="0" xfId="0" applyAlignment="1" applyFont="1">
      <alignment horizontal="right" readingOrder="0" shrinkToFit="0" vertical="center" wrapText="1"/>
    </xf>
    <xf borderId="0" fillId="0" fontId="73" numFmtId="0" xfId="0" applyAlignment="1" applyFont="1">
      <alignment horizontal="right" shrinkToFit="0" vertical="center" wrapText="1"/>
    </xf>
    <xf borderId="0" fillId="4" fontId="75" numFmtId="0" xfId="0" applyAlignment="1" applyFont="1">
      <alignment horizontal="right" shrinkToFit="0" vertical="center" wrapText="1"/>
    </xf>
    <xf borderId="0" fillId="4" fontId="73" numFmtId="0" xfId="0" applyAlignment="1" applyFont="1">
      <alignment horizontal="right" readingOrder="0" shrinkToFit="0" vertical="center" wrapText="1"/>
    </xf>
    <xf borderId="0" fillId="0" fontId="73" numFmtId="0" xfId="0" applyAlignment="1" applyFont="1">
      <alignment shrinkToFit="0" vertical="center" wrapText="1"/>
    </xf>
    <xf borderId="0" fillId="5" fontId="72" numFmtId="0" xfId="0" applyAlignment="1" applyFont="1">
      <alignment horizontal="right" readingOrder="0" shrinkToFit="0" vertical="center" wrapText="1"/>
    </xf>
    <xf borderId="0" fillId="5" fontId="72" numFmtId="167" xfId="0" applyAlignment="1" applyFont="1" applyNumberFormat="1">
      <alignment horizontal="right" shrinkToFit="0" vertical="center" wrapText="1"/>
    </xf>
    <xf borderId="0" fillId="5" fontId="73" numFmtId="0" xfId="0" applyAlignment="1" applyFont="1">
      <alignment shrinkToFit="0" vertical="center" wrapText="1"/>
    </xf>
    <xf borderId="0" fillId="5" fontId="73" numFmtId="0" xfId="0" applyAlignment="1" applyFont="1">
      <alignment horizontal="right" shrinkToFit="0" vertical="center" wrapText="1"/>
    </xf>
    <xf borderId="0" fillId="2" fontId="76" numFmtId="0" xfId="0" applyAlignment="1" applyFont="1">
      <alignment horizontal="center" readingOrder="0" shrinkToFit="0" vertical="center" wrapText="1"/>
    </xf>
    <xf borderId="0" fillId="2" fontId="77" numFmtId="164" xfId="0" applyAlignment="1" applyFont="1" applyNumberFormat="1">
      <alignment horizontal="center" readingOrder="0" shrinkToFit="0" vertical="center" wrapText="1"/>
    </xf>
    <xf borderId="0" fillId="6" fontId="70" numFmtId="0" xfId="0" applyAlignment="1" applyFont="1">
      <alignment horizontal="center" readingOrder="0" shrinkToFit="0" vertical="center" wrapText="1"/>
    </xf>
    <xf borderId="0" fillId="6" fontId="70" numFmtId="167" xfId="0" applyAlignment="1" applyFont="1" applyNumberFormat="1">
      <alignment shrinkToFit="0" vertical="center" wrapText="1"/>
    </xf>
    <xf borderId="0" fillId="6" fontId="70" numFmtId="0" xfId="0" applyAlignment="1" applyFont="1">
      <alignment shrinkToFit="0" vertical="center" wrapText="1"/>
    </xf>
    <xf borderId="0" fillId="3" fontId="78" numFmtId="0" xfId="0" applyAlignment="1" applyFont="1">
      <alignment horizontal="left" readingOrder="0" shrinkToFit="0" vertical="center" wrapText="1"/>
    </xf>
    <xf borderId="0" fillId="3" fontId="78" numFmtId="167" xfId="0" applyAlignment="1" applyFont="1" applyNumberFormat="1">
      <alignment horizontal="right" readingOrder="0" shrinkToFit="0" vertical="center" wrapText="1"/>
    </xf>
    <xf borderId="0" fillId="3" fontId="78" numFmtId="0" xfId="0" applyAlignment="1" applyFont="1">
      <alignment horizontal="center" shrinkToFit="0" vertical="center" wrapText="1"/>
    </xf>
    <xf borderId="0" fillId="3" fontId="72" numFmtId="0" xfId="0" applyAlignment="1" applyFont="1">
      <alignment horizontal="right" shrinkToFit="0" vertical="center" wrapText="1"/>
    </xf>
    <xf borderId="0" fillId="7" fontId="79" numFmtId="0" xfId="0" applyAlignment="1" applyFill="1" applyFont="1">
      <alignment horizontal="right" readingOrder="0" shrinkToFit="0" vertical="center" wrapText="1"/>
    </xf>
    <xf borderId="0" fillId="7" fontId="79" numFmtId="167" xfId="0" applyAlignment="1" applyFont="1" applyNumberFormat="1">
      <alignment readingOrder="0" shrinkToFit="0" vertical="center" wrapText="1"/>
    </xf>
    <xf borderId="0" fillId="7" fontId="80" numFmtId="0" xfId="0" applyAlignment="1" applyFont="1">
      <alignment readingOrder="0" shrinkToFit="0" vertical="center" wrapText="1"/>
    </xf>
    <xf borderId="0" fillId="7" fontId="73" numFmtId="0" xfId="0" applyAlignment="1" applyFont="1">
      <alignment horizontal="right" shrinkToFit="0" vertical="center" wrapText="1"/>
    </xf>
    <xf borderId="0" fillId="3" fontId="78" numFmtId="167" xfId="0" applyAlignment="1" applyFont="1" applyNumberFormat="1">
      <alignment horizontal="right" shrinkToFit="0" vertical="center" wrapText="1"/>
    </xf>
    <xf borderId="0" fillId="3" fontId="81" numFmtId="0" xfId="0" applyAlignment="1" applyFont="1">
      <alignment shrinkToFit="0" vertical="center" wrapText="1"/>
    </xf>
    <xf borderId="0" fillId="3" fontId="81" numFmtId="167" xfId="0" applyAlignment="1" applyFont="1" applyNumberFormat="1">
      <alignment horizontal="right" shrinkToFit="0" vertical="center" wrapText="1"/>
    </xf>
    <xf borderId="0" fillId="3" fontId="73" numFmtId="0" xfId="0" applyAlignment="1" applyFont="1">
      <alignment shrinkToFit="0" vertical="center" wrapText="1"/>
    </xf>
    <xf borderId="0" fillId="0" fontId="82" numFmtId="0" xfId="0" applyAlignment="1" applyFont="1">
      <alignment horizontal="right" readingOrder="0" shrinkToFit="0" vertical="center" wrapText="1"/>
    </xf>
    <xf borderId="0" fillId="0" fontId="73" numFmtId="167" xfId="0" applyAlignment="1" applyFont="1" applyNumberFormat="1">
      <alignment horizontal="right" readingOrder="0" shrinkToFit="0" vertical="center" wrapText="1"/>
    </xf>
    <xf borderId="0" fillId="3" fontId="78" numFmtId="0" xfId="0" applyAlignment="1" applyFont="1">
      <alignment horizontal="left" readingOrder="0" shrinkToFit="0" vertical="center" wrapText="1"/>
    </xf>
    <xf borderId="0" fillId="4" fontId="83" numFmtId="0" xfId="0" applyAlignment="1" applyFont="1">
      <alignment horizontal="right" readingOrder="0" shrinkToFit="0" vertical="center" wrapText="1"/>
    </xf>
    <xf borderId="0" fillId="4" fontId="72" numFmtId="167" xfId="0" applyAlignment="1" applyFont="1" applyNumberFormat="1">
      <alignment horizontal="right" readingOrder="0" shrinkToFit="0" vertical="center" wrapText="1"/>
    </xf>
    <xf borderId="0" fillId="4" fontId="78" numFmtId="0" xfId="0" applyAlignment="1" applyFont="1">
      <alignment horizontal="center" shrinkToFit="0" vertical="center" wrapText="1"/>
    </xf>
    <xf borderId="0" fillId="4" fontId="72" numFmtId="0" xfId="0" applyAlignment="1" applyFont="1">
      <alignment horizontal="right" shrinkToFit="0" vertical="center" wrapText="1"/>
    </xf>
    <xf borderId="0" fillId="3" fontId="81" numFmtId="167" xfId="0" applyAlignment="1" applyFont="1" applyNumberFormat="1">
      <alignment readingOrder="0" shrinkToFit="0" vertical="center" wrapText="1"/>
    </xf>
    <xf borderId="0" fillId="3" fontId="79" numFmtId="0" xfId="0" applyAlignment="1" applyFont="1">
      <alignment readingOrder="0" shrinkToFit="0" vertical="center" wrapText="1"/>
    </xf>
    <xf borderId="0" fillId="3" fontId="73" numFmtId="0" xfId="0" applyAlignment="1" applyFont="1">
      <alignment horizontal="right" shrinkToFit="0" vertical="center" wrapText="1"/>
    </xf>
    <xf borderId="0" fillId="4" fontId="72" numFmtId="0" xfId="0" applyAlignment="1" applyFont="1">
      <alignment horizontal="right" readingOrder="0" shrinkToFit="0" vertical="center" wrapText="1"/>
    </xf>
    <xf borderId="0" fillId="4" fontId="73" numFmtId="167" xfId="0" applyAlignment="1" applyFont="1" applyNumberFormat="1">
      <alignment readingOrder="0" shrinkToFit="0" vertical="center" wrapText="1"/>
    </xf>
    <xf borderId="0" fillId="4" fontId="73" numFmtId="0" xfId="0" applyAlignment="1" applyFont="1">
      <alignment readingOrder="0" shrinkToFit="0" vertical="center" wrapText="1"/>
    </xf>
    <xf borderId="0" fillId="0" fontId="72" numFmtId="0" xfId="0" applyAlignment="1" applyFont="1">
      <alignment horizontal="right" readingOrder="0" shrinkToFit="0" vertical="center" wrapText="1"/>
    </xf>
    <xf borderId="0" fillId="0" fontId="73" numFmtId="167" xfId="0" applyAlignment="1" applyFont="1" applyNumberFormat="1">
      <alignment readingOrder="0" shrinkToFit="0" vertical="center" wrapText="1"/>
    </xf>
    <xf borderId="0" fillId="0" fontId="73" numFmtId="0" xfId="0" applyAlignment="1" applyFont="1">
      <alignment horizontal="right" readingOrder="0" shrinkToFit="0" vertical="center" wrapText="1"/>
    </xf>
    <xf borderId="0" fillId="0" fontId="73" numFmtId="0" xfId="0" applyAlignment="1" applyFont="1">
      <alignment readingOrder="0" shrinkToFit="0" vertical="center" wrapText="1"/>
    </xf>
    <xf borderId="0" fillId="7" fontId="84" numFmtId="0" xfId="0" applyAlignment="1" applyFont="1">
      <alignment horizontal="right" readingOrder="0" shrinkToFit="0" vertical="center" wrapText="1"/>
    </xf>
    <xf borderId="0" fillId="7" fontId="73" numFmtId="167" xfId="0" applyAlignment="1" applyFont="1" applyNumberFormat="1">
      <alignment readingOrder="0" shrinkToFit="0" vertical="center" wrapText="1"/>
    </xf>
    <xf borderId="0" fillId="7" fontId="79" numFmtId="0" xfId="0" applyAlignment="1" applyFont="1">
      <alignment readingOrder="0" shrinkToFit="0" vertical="center" wrapText="1"/>
    </xf>
    <xf borderId="0" fillId="5" fontId="73" numFmtId="0" xfId="0" applyAlignment="1" applyFont="1">
      <alignment horizontal="right" readingOrder="0" shrinkToFit="0" vertical="center" wrapText="1"/>
    </xf>
    <xf borderId="0" fillId="5" fontId="73" numFmtId="167" xfId="0" applyAlignment="1" applyFont="1" applyNumberFormat="1">
      <alignment readingOrder="0" shrinkToFit="0" vertical="center" wrapText="1"/>
    </xf>
    <xf borderId="0" fillId="5" fontId="73" numFmtId="0" xfId="0" applyAlignment="1" applyFont="1">
      <alignment readingOrder="0" shrinkToFit="0" vertical="center" wrapText="1"/>
    </xf>
    <xf borderId="0" fillId="3" fontId="78" numFmtId="170" xfId="0" applyAlignment="1" applyFont="1" applyNumberFormat="1">
      <alignment horizontal="right" shrinkToFit="0" vertical="center" wrapText="1"/>
    </xf>
    <xf borderId="0" fillId="3" fontId="78" numFmtId="0" xfId="0" applyAlignment="1" applyFont="1">
      <alignment horizontal="left" shrinkToFit="0" vertical="center" wrapText="1"/>
    </xf>
    <xf borderId="0" fillId="3" fontId="81" numFmtId="0" xfId="0" applyAlignment="1" applyFont="1">
      <alignment horizontal="right" shrinkToFit="0" vertical="center" wrapText="1"/>
    </xf>
    <xf borderId="0" fillId="0" fontId="85" numFmtId="0" xfId="0" applyAlignment="1" applyFont="1">
      <alignment horizontal="right" shrinkToFit="0" vertical="center" wrapText="1"/>
    </xf>
    <xf borderId="0" fillId="0" fontId="73" numFmtId="0" xfId="0" applyAlignment="1" applyFont="1">
      <alignment readingOrder="0" shrinkToFit="0" vertical="center" wrapText="1"/>
    </xf>
    <xf borderId="0" fillId="0" fontId="86" numFmtId="0" xfId="0" applyAlignment="1" applyFont="1">
      <alignment shrinkToFit="0" vertical="center" wrapText="1"/>
    </xf>
    <xf borderId="0" fillId="4" fontId="87" numFmtId="0" xfId="0" applyAlignment="1" applyFont="1">
      <alignment shrinkToFit="0" vertical="center" wrapText="1"/>
    </xf>
    <xf borderId="0" fillId="0" fontId="79" numFmtId="0" xfId="0" applyAlignment="1" applyFont="1">
      <alignment readingOrder="0" shrinkToFit="0" vertical="center" wrapText="1"/>
    </xf>
    <xf borderId="0" fillId="4" fontId="88" numFmtId="167" xfId="0" applyAlignment="1" applyFont="1" applyNumberFormat="1">
      <alignment horizontal="right" shrinkToFit="0" vertical="center" wrapText="1"/>
    </xf>
    <xf borderId="0" fillId="0" fontId="89" numFmtId="167" xfId="0" applyAlignment="1" applyFont="1" applyNumberFormat="1">
      <alignment horizontal="right" shrinkToFit="0" vertical="center" wrapText="1"/>
    </xf>
    <xf borderId="0" fillId="3" fontId="81" numFmtId="0" xfId="0" applyAlignment="1" applyFont="1">
      <alignment readingOrder="0" shrinkToFit="0" vertical="center" wrapText="1"/>
    </xf>
    <xf borderId="0" fillId="3" fontId="81" numFmtId="0" xfId="0" applyAlignment="1" applyFont="1">
      <alignment shrinkToFit="0" vertical="center" wrapText="1"/>
    </xf>
    <xf borderId="0" fillId="3" fontId="90" numFmtId="0" xfId="0" applyAlignment="1" applyFont="1">
      <alignment horizontal="right" shrinkToFit="0" vertical="center" wrapText="1"/>
    </xf>
    <xf borderId="0" fillId="4" fontId="91" numFmtId="0" xfId="0" applyAlignment="1" applyFont="1">
      <alignment horizontal="right" readingOrder="0" shrinkToFit="0" vertical="center" wrapText="1"/>
    </xf>
    <xf borderId="0" fillId="4" fontId="73" numFmtId="167" xfId="0" applyAlignment="1" applyFont="1" applyNumberFormat="1">
      <alignment horizontal="right" shrinkToFit="0" vertical="center" wrapText="1"/>
    </xf>
    <xf borderId="0" fillId="4" fontId="79" numFmtId="0" xfId="0" applyAlignment="1" applyFont="1">
      <alignment readingOrder="0" shrinkToFit="0" vertical="center" wrapText="1"/>
    </xf>
    <xf borderId="0" fillId="0" fontId="92" numFmtId="0" xfId="0" applyAlignment="1" applyFont="1">
      <alignment horizontal="right" readingOrder="0" shrinkToFit="0" vertical="center" wrapText="1"/>
    </xf>
    <xf borderId="0" fillId="4" fontId="73" numFmtId="167" xfId="0" applyAlignment="1" applyFont="1" applyNumberFormat="1">
      <alignment horizontal="right" readingOrder="0" shrinkToFit="0" vertical="center" wrapText="1"/>
    </xf>
    <xf borderId="0" fillId="4" fontId="73" numFmtId="0" xfId="0" applyAlignment="1" applyFont="1">
      <alignment readingOrder="0" shrinkToFit="0" vertical="center" wrapText="1"/>
    </xf>
    <xf borderId="0" fillId="4" fontId="79" numFmtId="0" xfId="0" applyAlignment="1" applyFont="1">
      <alignment readingOrder="0" shrinkToFit="0" vertical="center" wrapText="1"/>
    </xf>
    <xf borderId="0" fillId="4" fontId="72" numFmtId="0" xfId="0" applyAlignment="1" applyFont="1">
      <alignment horizontal="right" readingOrder="0" shrinkToFit="0" vertical="center" wrapText="1"/>
    </xf>
    <xf borderId="0" fillId="4" fontId="93" numFmtId="167" xfId="0" applyAlignment="1" applyFont="1" applyNumberFormat="1">
      <alignment horizontal="right" shrinkToFit="0" vertical="center" wrapText="1"/>
    </xf>
    <xf borderId="0" fillId="4" fontId="72" numFmtId="0" xfId="0" applyAlignment="1" applyFont="1">
      <alignment readingOrder="0" shrinkToFit="0" vertical="center" wrapText="1"/>
    </xf>
    <xf borderId="0" fillId="4" fontId="73" numFmtId="0" xfId="0" applyAlignment="1" applyFont="1">
      <alignment horizontal="right" shrinkToFit="0" vertical="center" wrapText="1"/>
    </xf>
    <xf borderId="0" fillId="0" fontId="72" numFmtId="0" xfId="0" applyAlignment="1" applyFont="1">
      <alignment horizontal="right" readingOrder="0" shrinkToFit="0" vertical="center" wrapText="1"/>
    </xf>
    <xf borderId="0" fillId="0" fontId="94" numFmtId="167" xfId="0" applyAlignment="1" applyFont="1" applyNumberFormat="1">
      <alignment horizontal="right" shrinkToFit="0" vertical="center" wrapText="1"/>
    </xf>
    <xf borderId="0" fillId="0" fontId="72" numFmtId="0" xfId="0" applyAlignment="1" applyFont="1">
      <alignment readingOrder="0" shrinkToFit="0" vertical="center" wrapText="1"/>
    </xf>
    <xf borderId="0" fillId="0" fontId="73" numFmtId="0" xfId="0" applyAlignment="1" applyFont="1">
      <alignment horizontal="right" readingOrder="0" shrinkToFit="0" vertical="center" wrapText="1"/>
    </xf>
    <xf borderId="0" fillId="0" fontId="95" numFmtId="0" xfId="0" applyAlignment="1" applyFont="1">
      <alignment horizontal="right" shrinkToFit="0" vertical="center" wrapText="1"/>
    </xf>
    <xf borderId="0" fillId="0" fontId="72" numFmtId="167" xfId="0" applyAlignment="1" applyFont="1" applyNumberFormat="1">
      <alignment readingOrder="0" shrinkToFit="0" vertical="center" wrapText="1"/>
    </xf>
    <xf borderId="0" fillId="0" fontId="96" numFmtId="0" xfId="0" applyAlignment="1" applyFont="1">
      <alignment readingOrder="0" shrinkToFit="0" vertical="center" wrapText="1"/>
    </xf>
    <xf borderId="0" fillId="0" fontId="73" numFmtId="0" xfId="0" applyAlignment="1" applyFont="1">
      <alignment horizontal="right" readingOrder="0" shrinkToFit="0" vertical="center" wrapText="1"/>
    </xf>
    <xf borderId="0" fillId="4" fontId="72" numFmtId="0" xfId="0" applyAlignment="1" applyFont="1">
      <alignment horizontal="right" readingOrder="0" shrinkToFit="0" vertical="center" wrapText="1"/>
    </xf>
    <xf borderId="0" fillId="4" fontId="72" numFmtId="167" xfId="0" applyAlignment="1" applyFont="1" applyNumberFormat="1">
      <alignment readingOrder="0" shrinkToFit="0" vertical="center" wrapText="1"/>
    </xf>
    <xf borderId="0" fillId="4" fontId="73" numFmtId="171" xfId="0" applyAlignment="1" applyFont="1" applyNumberFormat="1">
      <alignment horizontal="right" readingOrder="0" shrinkToFit="0" vertical="center" wrapText="1"/>
    </xf>
    <xf borderId="0" fillId="4" fontId="97" numFmtId="0" xfId="0" applyAlignment="1" applyFont="1">
      <alignment shrinkToFit="0" vertical="center" wrapText="1"/>
    </xf>
    <xf borderId="0" fillId="0" fontId="73" numFmtId="0" xfId="0" applyAlignment="1" applyFont="1">
      <alignment horizontal="right" shrinkToFit="0" vertical="center" wrapText="1"/>
    </xf>
    <xf borderId="0" fillId="4" fontId="72" numFmtId="167" xfId="0" applyAlignment="1" applyFont="1" applyNumberFormat="1">
      <alignment shrinkToFit="0" vertical="center" wrapText="1"/>
    </xf>
    <xf borderId="0" fillId="4" fontId="72" numFmtId="0" xfId="0" applyAlignment="1" applyFont="1">
      <alignment shrinkToFit="0" vertical="center" wrapText="1"/>
    </xf>
    <xf borderId="0" fillId="0" fontId="72" numFmtId="167" xfId="0" applyAlignment="1" applyFont="1" applyNumberFormat="1">
      <alignment shrinkToFit="0" vertical="center" wrapText="1"/>
    </xf>
    <xf borderId="0" fillId="0" fontId="72" numFmtId="0" xfId="0" applyAlignment="1" applyFont="1">
      <alignment shrinkToFit="0" vertical="center" wrapText="1"/>
    </xf>
    <xf borderId="0" fillId="4" fontId="72" numFmtId="0" xfId="0" applyAlignment="1" applyFont="1">
      <alignment horizontal="left" readingOrder="0" shrinkToFit="0" vertical="center" wrapText="1"/>
    </xf>
    <xf borderId="0" fillId="4" fontId="73" numFmtId="172" xfId="0" applyAlignment="1" applyFont="1" applyNumberFormat="1">
      <alignment horizontal="right" readingOrder="0" shrinkToFit="0" vertical="center" wrapText="1"/>
    </xf>
    <xf borderId="0" fillId="0" fontId="72" numFmtId="167" xfId="0" applyAlignment="1" applyFont="1" applyNumberFormat="1">
      <alignment horizontal="right" shrinkToFit="0" vertical="center" wrapText="1"/>
    </xf>
    <xf borderId="0" fillId="4" fontId="72" numFmtId="167" xfId="0" applyAlignment="1" applyFont="1" applyNumberFormat="1">
      <alignment horizontal="right" readingOrder="0" shrinkToFit="0" vertical="center" wrapText="1"/>
    </xf>
    <xf borderId="0" fillId="0" fontId="72" numFmtId="167" xfId="0" applyAlignment="1" applyFont="1" applyNumberFormat="1">
      <alignment horizontal="right" readingOrder="0" shrinkToFit="0" vertical="center" wrapText="1"/>
    </xf>
    <xf borderId="0" fillId="4" fontId="72" numFmtId="0" xfId="0" applyAlignment="1" applyFont="1">
      <alignment horizontal="right" shrinkToFit="0" vertical="center" wrapText="1"/>
    </xf>
    <xf borderId="0" fillId="0" fontId="72" numFmtId="0" xfId="0" applyAlignment="1" applyFont="1">
      <alignment horizontal="right" shrinkToFit="0" vertical="center" wrapText="1"/>
    </xf>
    <xf borderId="0" fillId="0" fontId="73" numFmtId="172" xfId="0" applyAlignment="1" applyFont="1" applyNumberFormat="1">
      <alignment horizontal="right" readingOrder="0" shrinkToFit="0" vertical="center" wrapText="1"/>
    </xf>
    <xf borderId="0" fillId="4" fontId="96" numFmtId="0" xfId="0" applyAlignment="1" applyFont="1">
      <alignment readingOrder="0" shrinkToFit="0" vertical="center" wrapText="1"/>
    </xf>
    <xf borderId="0" fillId="4" fontId="73" numFmtId="173" xfId="0" applyAlignment="1" applyFont="1" applyNumberFormat="1">
      <alignment horizontal="right" readingOrder="0" shrinkToFit="0" vertical="center" wrapText="1"/>
    </xf>
    <xf borderId="0" fillId="4" fontId="72" numFmtId="0" xfId="0" applyAlignment="1" applyFont="1">
      <alignment horizontal="right" readingOrder="0" shrinkToFit="0" vertical="center" wrapText="1"/>
    </xf>
    <xf borderId="0" fillId="0" fontId="96" numFmtId="0" xfId="0" applyAlignment="1" applyFont="1">
      <alignment horizontal="right" readingOrder="0" shrinkToFit="0" vertical="center" wrapText="1"/>
    </xf>
    <xf borderId="0" fillId="4" fontId="73" numFmtId="169" xfId="0" applyAlignment="1" applyFont="1" applyNumberFormat="1">
      <alignment horizontal="right" readingOrder="0" shrinkToFit="0" vertical="center" wrapText="1"/>
    </xf>
    <xf borderId="0" fillId="0" fontId="72" numFmtId="0" xfId="0" applyAlignment="1" applyFont="1">
      <alignment horizontal="right" readingOrder="0" shrinkToFit="0" vertical="center" wrapText="1"/>
    </xf>
    <xf borderId="0" fillId="0" fontId="72" numFmtId="167" xfId="0" applyAlignment="1" applyFont="1" applyNumberFormat="1">
      <alignment horizontal="right" readingOrder="0" shrinkToFit="0" vertical="center" wrapText="1"/>
    </xf>
    <xf borderId="0" fillId="0" fontId="72" numFmtId="0" xfId="0" applyAlignment="1" applyFont="1">
      <alignment readingOrder="0" shrinkToFit="0" vertical="center" wrapText="1"/>
    </xf>
    <xf borderId="0" fillId="4" fontId="96" numFmtId="0" xfId="0" applyAlignment="1" applyFont="1">
      <alignment readingOrder="0" shrinkToFit="0" vertical="center" wrapText="1"/>
    </xf>
    <xf borderId="0" fillId="4" fontId="98" numFmtId="170" xfId="0" applyAlignment="1" applyFont="1" applyNumberFormat="1">
      <alignment horizontal="right" shrinkToFit="0" vertical="center" wrapText="1"/>
    </xf>
    <xf borderId="0" fillId="0" fontId="99" numFmtId="170" xfId="0" applyAlignment="1" applyFont="1" applyNumberFormat="1">
      <alignment horizontal="right" shrinkToFit="0" vertical="center" wrapText="1"/>
    </xf>
    <xf borderId="0" fillId="4" fontId="72" numFmtId="170" xfId="0" applyAlignment="1" applyFont="1" applyNumberFormat="1">
      <alignment horizontal="right" readingOrder="0" shrinkToFit="0" vertical="center" wrapText="1"/>
    </xf>
    <xf borderId="0" fillId="4" fontId="100" numFmtId="0" xfId="0" applyAlignment="1" applyFont="1">
      <alignment horizontal="left" shrinkToFit="0" vertical="center" wrapText="1"/>
    </xf>
    <xf borderId="0" fillId="0" fontId="72" numFmtId="170" xfId="0" applyAlignment="1" applyFont="1" applyNumberFormat="1">
      <alignment horizontal="right" readingOrder="0" shrinkToFit="0" vertical="center" wrapText="1"/>
    </xf>
    <xf borderId="0" fillId="0" fontId="72" numFmtId="0" xfId="0" applyAlignment="1" applyFont="1">
      <alignment horizontal="left" readingOrder="0" shrinkToFit="0" vertical="center" wrapText="1"/>
    </xf>
    <xf borderId="0" fillId="4" fontId="72" numFmtId="0" xfId="0" applyAlignment="1" applyFont="1">
      <alignment readingOrder="0" shrinkToFit="0" vertical="center" wrapText="1"/>
    </xf>
    <xf borderId="0" fillId="0" fontId="72" numFmtId="0" xfId="0" applyAlignment="1" applyFont="1">
      <alignment horizontal="right" shrinkToFit="0" vertical="center" wrapText="1"/>
    </xf>
    <xf borderId="0" fillId="5" fontId="72" numFmtId="167" xfId="0" applyAlignment="1" applyFont="1" applyNumberFormat="1">
      <alignment horizontal="right" readingOrder="0" shrinkToFit="0" vertical="center" wrapText="1"/>
    </xf>
    <xf borderId="0" fillId="5" fontId="101" numFmtId="0" xfId="0" applyAlignment="1" applyFont="1">
      <alignment shrinkToFit="0" vertical="center" wrapText="1"/>
    </xf>
    <xf borderId="0" fillId="4" fontId="72" numFmtId="0" xfId="0" applyAlignment="1" applyFont="1">
      <alignment shrinkToFit="0" vertical="center" wrapText="1"/>
    </xf>
    <xf borderId="0" fillId="0" fontId="72" numFmtId="0" xfId="0" applyAlignment="1" applyFont="1">
      <alignment shrinkToFit="0" vertical="center" wrapText="1"/>
    </xf>
    <xf borderId="0" fillId="4" fontId="72" numFmtId="167" xfId="0" applyAlignment="1" applyFont="1" applyNumberFormat="1">
      <alignment readingOrder="0" shrinkToFit="0" vertical="center" wrapText="1"/>
    </xf>
    <xf borderId="0" fillId="4" fontId="73" numFmtId="174" xfId="0" applyAlignment="1" applyFont="1" applyNumberFormat="1">
      <alignment horizontal="right" readingOrder="0" shrinkToFit="0" vertical="center" wrapText="1"/>
    </xf>
    <xf borderId="0" fillId="4" fontId="73" numFmtId="175" xfId="0" applyAlignment="1" applyFont="1" applyNumberFormat="1">
      <alignment horizontal="right" readingOrder="0" shrinkToFit="0" vertical="center" wrapText="1"/>
    </xf>
    <xf borderId="0" fillId="0" fontId="72" numFmtId="167" xfId="0" applyAlignment="1" applyFont="1" applyNumberFormat="1">
      <alignment readingOrder="0" shrinkToFit="0" vertical="center" wrapText="1"/>
    </xf>
    <xf borderId="0" fillId="4" fontId="73" numFmtId="164" xfId="0" applyAlignment="1" applyFont="1" applyNumberFormat="1">
      <alignment horizontal="right" readingOrder="0" shrinkToFit="0" vertical="center" wrapText="1"/>
    </xf>
    <xf borderId="0" fillId="5" fontId="72" numFmtId="167" xfId="0" applyAlignment="1" applyFont="1" applyNumberFormat="1">
      <alignment readingOrder="0" shrinkToFit="0" vertical="center" wrapText="1"/>
    </xf>
    <xf borderId="0" fillId="5" fontId="72" numFmtId="0" xfId="0" applyAlignment="1" applyFont="1">
      <alignment readingOrder="0" shrinkToFit="0" vertical="center" wrapText="1"/>
    </xf>
    <xf borderId="0" fillId="0" fontId="73" numFmtId="174" xfId="0" applyAlignment="1" applyFont="1" applyNumberFormat="1">
      <alignment horizontal="right" readingOrder="0" shrinkToFit="0" vertical="center" wrapText="1"/>
    </xf>
    <xf borderId="0" fillId="0" fontId="96" numFmtId="0" xfId="0" applyAlignment="1" applyFont="1">
      <alignment readingOrder="0" shrinkToFit="0" vertical="center" wrapText="1"/>
    </xf>
    <xf borderId="0" fillId="0" fontId="73" numFmtId="172" xfId="0" applyAlignment="1" applyFont="1" applyNumberFormat="1">
      <alignment horizontal="right" readingOrder="0" shrinkToFit="0" vertical="center" wrapText="1"/>
    </xf>
    <xf borderId="0" fillId="4" fontId="79" numFmtId="0" xfId="0" applyAlignment="1" applyFont="1">
      <alignment horizontal="right" readingOrder="0" shrinkToFit="0" vertical="center" wrapText="1"/>
    </xf>
    <xf borderId="0" fillId="4" fontId="72" numFmtId="167" xfId="0" applyAlignment="1" applyFont="1" applyNumberFormat="1">
      <alignment shrinkToFit="0" vertical="center" wrapText="1"/>
    </xf>
    <xf borderId="0" fillId="3" fontId="78" numFmtId="0" xfId="0" applyAlignment="1" applyFont="1">
      <alignment readingOrder="0" shrinkToFit="0" vertical="center" wrapText="1"/>
    </xf>
    <xf borderId="0" fillId="3" fontId="78" numFmtId="0" xfId="0" applyAlignment="1" applyFont="1">
      <alignment shrinkToFit="0" vertical="center" wrapText="1"/>
    </xf>
    <xf borderId="0" fillId="3" fontId="78" numFmtId="0" xfId="0" applyAlignment="1" applyFont="1">
      <alignment horizontal="right" shrinkToFit="0" vertical="center" wrapText="1"/>
    </xf>
    <xf borderId="0" fillId="4" fontId="73" numFmtId="14" xfId="0" applyAlignment="1" applyFont="1" applyNumberFormat="1">
      <alignment readingOrder="0" shrinkToFit="0" vertical="center" wrapText="1"/>
    </xf>
    <xf borderId="0" fillId="0" fontId="73" numFmtId="14" xfId="0" applyAlignment="1" applyFont="1" applyNumberFormat="1">
      <alignment readingOrder="0" shrinkToFit="0" vertical="center" wrapText="1"/>
    </xf>
    <xf borderId="0" fillId="3" fontId="96" numFmtId="0" xfId="0" applyAlignment="1" applyFont="1">
      <alignment horizontal="left" shrinkToFit="0" vertical="center" wrapText="1"/>
    </xf>
    <xf borderId="0" fillId="0" fontId="102" numFmtId="0" xfId="0" applyAlignment="1" applyFont="1">
      <alignment horizontal="left" shrinkToFit="0" vertical="center" wrapText="1"/>
    </xf>
    <xf borderId="0" fillId="4" fontId="73" numFmtId="0" xfId="0" applyAlignment="1" applyFont="1">
      <alignment horizontal="right" shrinkToFit="0" vertical="center" wrapText="1"/>
    </xf>
    <xf borderId="0" fillId="3" fontId="81" numFmtId="0" xfId="0" applyAlignment="1" applyFont="1">
      <alignment horizontal="left" readingOrder="0" shrinkToFit="0" vertical="center" wrapText="1"/>
    </xf>
    <xf borderId="0" fillId="4" fontId="73" numFmtId="0" xfId="0" applyAlignment="1" applyFont="1">
      <alignment horizontal="right" readingOrder="0" shrinkToFit="0" vertical="center" wrapText="1"/>
    </xf>
    <xf borderId="0" fillId="4" fontId="73" numFmtId="167" xfId="0" applyAlignment="1" applyFont="1" applyNumberFormat="1">
      <alignment readingOrder="0" shrinkToFit="0" vertical="center" wrapText="1"/>
    </xf>
    <xf borderId="0" fillId="4" fontId="73" numFmtId="0" xfId="0" applyAlignment="1" applyFont="1">
      <alignment readingOrder="0" shrinkToFit="0" vertical="center" wrapText="1"/>
    </xf>
    <xf borderId="0" fillId="4" fontId="73" numFmtId="0" xfId="0" applyAlignment="1" applyFont="1">
      <alignment horizontal="right" readingOrder="0" shrinkToFit="0" vertical="center" wrapText="1"/>
    </xf>
    <xf borderId="0" fillId="0" fontId="73" numFmtId="167" xfId="0" applyAlignment="1" applyFont="1" applyNumberFormat="1">
      <alignment readingOrder="0" shrinkToFit="0" vertical="center" wrapText="1"/>
    </xf>
    <xf borderId="0" fillId="0" fontId="73" numFmtId="0" xfId="0" applyAlignment="1" applyFont="1">
      <alignment readingOrder="0" shrinkToFit="0" vertical="center" wrapText="1"/>
    </xf>
    <xf borderId="0" fillId="0" fontId="73" numFmtId="164" xfId="0" applyAlignment="1" applyFont="1" applyNumberFormat="1">
      <alignment horizontal="right" readingOrder="0" shrinkToFit="0" vertical="center" wrapText="1"/>
    </xf>
    <xf borderId="0" fillId="4" fontId="73" numFmtId="14" xfId="0" applyAlignment="1" applyFont="1" applyNumberFormat="1">
      <alignment horizontal="right" readingOrder="0" shrinkToFit="0" vertical="center" wrapText="1"/>
    </xf>
    <xf borderId="0" fillId="4" fontId="73" numFmtId="167" xfId="0" applyAlignment="1" applyFont="1" applyNumberFormat="1">
      <alignment shrinkToFit="0" vertical="center" wrapText="1"/>
    </xf>
    <xf borderId="0" fillId="0" fontId="73" numFmtId="14" xfId="0" applyAlignment="1" applyFont="1" applyNumberFormat="1">
      <alignment horizontal="right" readingOrder="0" shrinkToFit="0" vertical="center" wrapText="1"/>
    </xf>
    <xf borderId="0" fillId="4" fontId="73" numFmtId="172" xfId="0" applyAlignment="1" applyFont="1" applyNumberFormat="1">
      <alignment horizontal="right" readingOrder="0" shrinkToFit="0" vertical="center" wrapText="1"/>
    </xf>
    <xf borderId="0" fillId="0" fontId="72" numFmtId="167" xfId="0" applyAlignment="1" applyFont="1" applyNumberFormat="1">
      <alignment horizontal="left" shrinkToFit="0" vertical="center" wrapText="1"/>
    </xf>
    <xf borderId="0" fillId="2" fontId="103" numFmtId="0" xfId="0" applyAlignment="1" applyFont="1">
      <alignment readingOrder="0" shrinkToFit="0" wrapText="1"/>
    </xf>
    <xf borderId="0" fillId="2" fontId="73" numFmtId="0" xfId="0" applyAlignment="1" applyFont="1">
      <alignment shrinkToFit="0" wrapText="1"/>
    </xf>
    <xf borderId="6" fillId="2" fontId="70" numFmtId="0" xfId="0" applyAlignment="1" applyBorder="1" applyFont="1">
      <alignment readingOrder="0" shrinkToFit="0" wrapText="1"/>
    </xf>
    <xf borderId="7" fillId="2" fontId="1" numFmtId="0" xfId="0" applyAlignment="1" applyBorder="1" applyFont="1">
      <alignment shrinkToFit="0" wrapText="1"/>
    </xf>
    <xf borderId="0" fillId="2" fontId="70" numFmtId="0" xfId="0" applyAlignment="1" applyFont="1">
      <alignment readingOrder="0" shrinkToFit="0" wrapText="1"/>
    </xf>
    <xf borderId="0" fillId="2" fontId="73" numFmtId="169" xfId="0" applyAlignment="1" applyFont="1" applyNumberFormat="1">
      <alignment shrinkToFit="0" wrapText="1"/>
    </xf>
    <xf borderId="6" fillId="2" fontId="73" numFmtId="0" xfId="0" applyAlignment="1" applyBorder="1" applyFont="1">
      <alignment shrinkToFit="0" wrapText="1"/>
    </xf>
    <xf borderId="7" fillId="2" fontId="70" numFmtId="169" xfId="0" applyAlignment="1" applyBorder="1" applyFont="1" applyNumberFormat="1">
      <alignment readingOrder="0" shrinkToFit="0" wrapText="1"/>
    </xf>
    <xf borderId="6" fillId="2" fontId="73" numFmtId="169" xfId="0" applyAlignment="1" applyBorder="1" applyFont="1" applyNumberFormat="1">
      <alignment shrinkToFit="0" wrapText="1"/>
    </xf>
    <xf borderId="7" fillId="2" fontId="70" numFmtId="0" xfId="0" applyAlignment="1" applyBorder="1" applyFont="1">
      <alignment readingOrder="0" shrinkToFit="0" wrapText="1"/>
    </xf>
    <xf borderId="0" fillId="2" fontId="104" numFmtId="0" xfId="0" applyAlignment="1" applyFont="1">
      <alignment shrinkToFit="0" wrapText="1"/>
    </xf>
    <xf borderId="6" fillId="2" fontId="104" numFmtId="0" xfId="0" applyAlignment="1" applyBorder="1" applyFont="1">
      <alignment shrinkToFit="0" wrapText="1"/>
    </xf>
    <xf borderId="0" fillId="3" fontId="105" numFmtId="0" xfId="0" applyAlignment="1" applyFont="1">
      <alignment horizontal="left" readingOrder="0" shrinkToFit="0" vertical="bottom" wrapText="1"/>
    </xf>
    <xf borderId="0" fillId="3" fontId="106" numFmtId="0" xfId="0" applyAlignment="1" applyFont="1">
      <alignment readingOrder="0" shrinkToFit="0" wrapText="1"/>
    </xf>
    <xf borderId="6" fillId="3" fontId="107" numFmtId="169" xfId="0" applyAlignment="1" applyBorder="1" applyFont="1" applyNumberFormat="1">
      <alignment readingOrder="0" shrinkToFit="0" wrapText="1"/>
    </xf>
    <xf borderId="7" fillId="3" fontId="108" numFmtId="0" xfId="0" applyAlignment="1" applyBorder="1" applyFont="1">
      <alignment readingOrder="0" shrinkToFit="0" wrapText="1"/>
    </xf>
    <xf borderId="0" fillId="3" fontId="108" numFmtId="0" xfId="0" applyAlignment="1" applyFont="1">
      <alignment readingOrder="0" shrinkToFit="0" wrapText="1"/>
    </xf>
    <xf borderId="0" fillId="3" fontId="109" numFmtId="169" xfId="0" applyAlignment="1" applyFont="1" applyNumberFormat="1">
      <alignment readingOrder="0" shrinkToFit="0" wrapText="1"/>
    </xf>
    <xf borderId="6" fillId="3" fontId="110" numFmtId="0" xfId="0" applyAlignment="1" applyBorder="1" applyFont="1">
      <alignment readingOrder="0" shrinkToFit="0" wrapText="1"/>
    </xf>
    <xf borderId="7" fillId="3" fontId="111" numFmtId="169" xfId="0" applyAlignment="1" applyBorder="1" applyFont="1" applyNumberFormat="1">
      <alignment readingOrder="0" shrinkToFit="0" wrapText="1"/>
    </xf>
    <xf borderId="7" fillId="3" fontId="112" numFmtId="0" xfId="0" applyAlignment="1" applyBorder="1" applyFont="1">
      <alignment readingOrder="0" shrinkToFit="0" wrapText="1"/>
    </xf>
    <xf borderId="4" fillId="6" fontId="113" numFmtId="0" xfId="0" applyAlignment="1" applyBorder="1" applyFont="1">
      <alignment horizontal="center" readingOrder="0" shrinkToFit="0" vertical="bottom" wrapText="1"/>
    </xf>
    <xf borderId="4" fillId="6" fontId="73" numFmtId="0" xfId="0" applyAlignment="1" applyBorder="1" applyFont="1">
      <alignment shrinkToFit="0" wrapText="1"/>
    </xf>
    <xf borderId="6" fillId="6" fontId="73" numFmtId="169" xfId="0" applyAlignment="1" applyBorder="1" applyFont="1" applyNumberFormat="1">
      <alignment shrinkToFit="0" wrapText="1"/>
    </xf>
    <xf borderId="7" fillId="6" fontId="73" numFmtId="169" xfId="0" applyAlignment="1" applyBorder="1" applyFont="1" applyNumberFormat="1">
      <alignment shrinkToFit="0" wrapText="1"/>
    </xf>
    <xf borderId="0" fillId="6" fontId="73" numFmtId="169" xfId="0" applyAlignment="1" applyFont="1" applyNumberFormat="1">
      <alignment shrinkToFit="0" wrapText="1"/>
    </xf>
    <xf borderId="7" fillId="6" fontId="73" numFmtId="0" xfId="0" applyAlignment="1" applyBorder="1" applyFont="1">
      <alignment shrinkToFit="0" wrapText="1"/>
    </xf>
    <xf borderId="0" fillId="6" fontId="73" numFmtId="0" xfId="0" applyAlignment="1" applyFont="1">
      <alignment shrinkToFit="0" wrapText="1"/>
    </xf>
    <xf borderId="5" fillId="4" fontId="114" numFmtId="0" xfId="0" applyAlignment="1" applyBorder="1" applyFont="1">
      <alignment shrinkToFit="0" wrapText="1"/>
    </xf>
    <xf borderId="5" fillId="4" fontId="73" numFmtId="0" xfId="0" applyAlignment="1" applyBorder="1" applyFont="1">
      <alignment readingOrder="0" shrinkToFit="0" wrapText="1"/>
    </xf>
    <xf borderId="6" fillId="4" fontId="73" numFmtId="169" xfId="0" applyAlignment="1" applyBorder="1" applyFont="1" applyNumberFormat="1">
      <alignment shrinkToFit="0" wrapText="1"/>
    </xf>
    <xf borderId="7" fillId="4" fontId="73" numFmtId="169" xfId="0" applyAlignment="1" applyBorder="1" applyFont="1" applyNumberFormat="1">
      <alignment shrinkToFit="0" wrapText="1"/>
    </xf>
    <xf borderId="0" fillId="4" fontId="73" numFmtId="10" xfId="0" applyAlignment="1" applyFont="1" applyNumberFormat="1">
      <alignment shrinkToFit="0" wrapText="1"/>
    </xf>
    <xf borderId="0" fillId="4" fontId="73" numFmtId="169" xfId="0" applyAlignment="1" applyFont="1" applyNumberFormat="1">
      <alignment shrinkToFit="0" wrapText="1"/>
    </xf>
    <xf borderId="7" fillId="4" fontId="73" numFmtId="0" xfId="0" applyAlignment="1" applyBorder="1" applyFont="1">
      <alignment shrinkToFit="0" wrapText="1"/>
    </xf>
    <xf borderId="0" fillId="4" fontId="73" numFmtId="0" xfId="0" applyAlignment="1" applyFont="1">
      <alignment shrinkToFit="0" wrapText="1"/>
    </xf>
    <xf borderId="0" fillId="0" fontId="115" numFmtId="0" xfId="0" applyAlignment="1" applyFont="1">
      <alignment shrinkToFit="0" wrapText="1"/>
    </xf>
    <xf borderId="0" fillId="0" fontId="73" numFmtId="0" xfId="0" applyAlignment="1" applyFont="1">
      <alignment readingOrder="0" shrinkToFit="0" wrapText="1"/>
    </xf>
    <xf borderId="6" fillId="0" fontId="73" numFmtId="169" xfId="0" applyAlignment="1" applyBorder="1" applyFont="1" applyNumberFormat="1">
      <alignment readingOrder="0" shrinkToFit="0" wrapText="1"/>
    </xf>
    <xf borderId="7" fillId="0" fontId="73" numFmtId="169" xfId="0" applyAlignment="1" applyBorder="1" applyFont="1" applyNumberFormat="1">
      <alignment shrinkToFit="0" wrapText="1"/>
    </xf>
    <xf borderId="0" fillId="0" fontId="73" numFmtId="10" xfId="0" applyAlignment="1" applyFont="1" applyNumberFormat="1">
      <alignment shrinkToFit="0" wrapText="1"/>
    </xf>
    <xf borderId="0" fillId="0" fontId="73" numFmtId="169" xfId="0" applyAlignment="1" applyFont="1" applyNumberFormat="1">
      <alignment shrinkToFit="0" wrapText="1"/>
    </xf>
    <xf borderId="6" fillId="0" fontId="73" numFmtId="169" xfId="0" applyAlignment="1" applyBorder="1" applyFont="1" applyNumberFormat="1">
      <alignment shrinkToFit="0" wrapText="1"/>
    </xf>
    <xf borderId="7" fillId="0" fontId="73" numFmtId="169" xfId="0" applyAlignment="1" applyBorder="1" applyFont="1" applyNumberFormat="1">
      <alignment readingOrder="0" shrinkToFit="0" wrapText="1"/>
    </xf>
    <xf borderId="0" fillId="0" fontId="73" numFmtId="169" xfId="0" applyAlignment="1" applyFont="1" applyNumberFormat="1">
      <alignment readingOrder="0" shrinkToFit="0" wrapText="1"/>
    </xf>
    <xf borderId="7" fillId="0" fontId="73" numFmtId="0" xfId="0" applyAlignment="1" applyBorder="1" applyFont="1">
      <alignment shrinkToFit="0" wrapText="1"/>
    </xf>
    <xf borderId="0" fillId="4" fontId="116" numFmtId="0" xfId="0" applyAlignment="1" applyFont="1">
      <alignment shrinkToFit="0" wrapText="1"/>
    </xf>
    <xf borderId="0" fillId="4" fontId="73" numFmtId="0" xfId="0" applyAlignment="1" applyFont="1">
      <alignment readingOrder="0" shrinkToFit="0" wrapText="1"/>
    </xf>
    <xf borderId="7" fillId="4" fontId="79" numFmtId="169" xfId="0" applyAlignment="1" applyBorder="1" applyFont="1" applyNumberFormat="1">
      <alignment horizontal="right" shrinkToFit="0" vertical="bottom" wrapText="1"/>
    </xf>
    <xf borderId="0" fillId="4" fontId="79" numFmtId="169" xfId="0" applyAlignment="1" applyFont="1" applyNumberFormat="1">
      <alignment horizontal="right" shrinkToFit="0" vertical="bottom" wrapText="1"/>
    </xf>
    <xf borderId="6" fillId="4" fontId="79" numFmtId="169" xfId="0" applyAlignment="1" applyBorder="1" applyFont="1" applyNumberFormat="1">
      <alignment horizontal="right" shrinkToFit="0" vertical="bottom" wrapText="1"/>
    </xf>
    <xf borderId="6" fillId="0" fontId="73" numFmtId="169" xfId="0" applyAlignment="1" applyBorder="1" applyFont="1" applyNumberFormat="1">
      <alignment horizontal="right" readingOrder="0" shrinkToFit="0" vertical="bottom" wrapText="1"/>
    </xf>
    <xf borderId="7" fillId="0" fontId="79" numFmtId="169" xfId="0" applyAlignment="1" applyBorder="1" applyFont="1" applyNumberFormat="1">
      <alignment horizontal="right" shrinkToFit="0" vertical="bottom" wrapText="1"/>
    </xf>
    <xf borderId="0" fillId="0" fontId="79" numFmtId="169" xfId="0" applyAlignment="1" applyFont="1" applyNumberFormat="1">
      <alignment horizontal="right" shrinkToFit="0" vertical="bottom" wrapText="1"/>
    </xf>
    <xf borderId="6" fillId="0" fontId="79" numFmtId="169" xfId="0" applyAlignment="1" applyBorder="1" applyFont="1" applyNumberFormat="1">
      <alignment horizontal="right" shrinkToFit="0" vertical="bottom" wrapText="1"/>
    </xf>
    <xf borderId="7" fillId="0" fontId="73" numFmtId="0" xfId="0" applyAlignment="1" applyBorder="1" applyFont="1">
      <alignment readingOrder="0" shrinkToFit="0" wrapText="1"/>
    </xf>
    <xf borderId="0" fillId="0" fontId="73" numFmtId="0" xfId="0" applyAlignment="1" applyFont="1">
      <alignment horizontal="right" readingOrder="0" shrinkToFit="0" vertical="bottom" wrapText="1"/>
    </xf>
    <xf borderId="6" fillId="4" fontId="73" numFmtId="169" xfId="0" applyAlignment="1" applyBorder="1" applyFont="1" applyNumberFormat="1">
      <alignment readingOrder="0" shrinkToFit="0" wrapText="1"/>
    </xf>
    <xf borderId="0" fillId="4" fontId="73" numFmtId="169" xfId="0" applyAlignment="1" applyFont="1" applyNumberFormat="1">
      <alignment readingOrder="0" shrinkToFit="0" wrapText="1"/>
    </xf>
    <xf borderId="0" fillId="0" fontId="73" numFmtId="0" xfId="0" applyAlignment="1" applyFont="1">
      <alignment shrinkToFit="0" wrapText="1"/>
    </xf>
    <xf borderId="7" fillId="4" fontId="73" numFmtId="169" xfId="0" applyAlignment="1" applyBorder="1" applyFont="1" applyNumberFormat="1">
      <alignment readingOrder="0" shrinkToFit="0" wrapText="1"/>
    </xf>
    <xf borderId="6" fillId="4" fontId="81" numFmtId="169" xfId="0" applyAlignment="1" applyBorder="1" applyFont="1" applyNumberFormat="1">
      <alignment horizontal="right" shrinkToFit="0" vertical="bottom" wrapText="1"/>
    </xf>
    <xf borderId="7" fillId="4" fontId="81" numFmtId="169" xfId="0" applyAlignment="1" applyBorder="1" applyFont="1" applyNumberFormat="1">
      <alignment shrinkToFit="0" wrapText="1"/>
    </xf>
    <xf borderId="0" fillId="4" fontId="81" numFmtId="10" xfId="0" applyAlignment="1" applyFont="1" applyNumberFormat="1">
      <alignment shrinkToFit="0" wrapText="1"/>
    </xf>
    <xf borderId="0" fillId="4" fontId="73" numFmtId="169" xfId="0" applyAlignment="1" applyFont="1" applyNumberFormat="1">
      <alignment horizontal="right" shrinkToFit="0" vertical="bottom" wrapText="1"/>
    </xf>
    <xf borderId="6" fillId="4" fontId="73" numFmtId="169" xfId="0" applyAlignment="1" applyBorder="1" applyFont="1" applyNumberFormat="1">
      <alignment horizontal="right" shrinkToFit="0" vertical="bottom" wrapText="1"/>
    </xf>
    <xf borderId="7" fillId="4" fontId="73" numFmtId="169" xfId="0" applyAlignment="1" applyBorder="1" applyFont="1" applyNumberFormat="1">
      <alignment horizontal="right" shrinkToFit="0" vertical="bottom" wrapText="1"/>
    </xf>
    <xf borderId="6" fillId="0" fontId="81" numFmtId="169" xfId="0" applyAlignment="1" applyBorder="1" applyFont="1" applyNumberFormat="1">
      <alignment horizontal="right" shrinkToFit="0" vertical="bottom" wrapText="1"/>
    </xf>
    <xf borderId="7" fillId="0" fontId="81" numFmtId="169" xfId="0" applyAlignment="1" applyBorder="1" applyFont="1" applyNumberFormat="1">
      <alignment shrinkToFit="0" wrapText="1"/>
    </xf>
    <xf borderId="0" fillId="0" fontId="81" numFmtId="10" xfId="0" applyAlignment="1" applyFont="1" applyNumberFormat="1">
      <alignment shrinkToFit="0" wrapText="1"/>
    </xf>
    <xf borderId="0" fillId="0" fontId="73" numFmtId="169" xfId="0" applyAlignment="1" applyFont="1" applyNumberFormat="1">
      <alignment horizontal="right" shrinkToFit="0" vertical="bottom" wrapText="1"/>
    </xf>
    <xf borderId="6" fillId="4" fontId="73" numFmtId="169" xfId="0" applyAlignment="1" applyBorder="1" applyFont="1" applyNumberFormat="1">
      <alignment horizontal="right" readingOrder="0" shrinkToFit="0" vertical="bottom" wrapText="1"/>
    </xf>
    <xf borderId="0" fillId="4" fontId="73" numFmtId="0" xfId="0" applyAlignment="1" applyFont="1">
      <alignment horizontal="right" readingOrder="0" shrinkToFit="0" vertical="bottom" wrapText="1"/>
    </xf>
    <xf borderId="6" fillId="0" fontId="73" numFmtId="169" xfId="0" applyAlignment="1" applyBorder="1" applyFont="1" applyNumberFormat="1">
      <alignment horizontal="right" shrinkToFit="0" vertical="bottom" wrapText="1"/>
    </xf>
    <xf borderId="7" fillId="0" fontId="73" numFmtId="169" xfId="0" applyAlignment="1" applyBorder="1" applyFont="1" applyNumberFormat="1">
      <alignment horizontal="right" shrinkToFit="0" vertical="bottom" wrapText="1"/>
    </xf>
    <xf borderId="0" fillId="0" fontId="117" numFmtId="0" xfId="0" applyAlignment="1" applyFont="1">
      <alignment shrinkToFit="0" wrapText="1"/>
    </xf>
    <xf borderId="8" fillId="4" fontId="118" numFmtId="0" xfId="0" applyAlignment="1" applyBorder="1" applyFont="1">
      <alignment shrinkToFit="0" wrapText="1"/>
    </xf>
    <xf borderId="8" fillId="4" fontId="73" numFmtId="0" xfId="0" applyAlignment="1" applyBorder="1" applyFont="1">
      <alignment readingOrder="0" shrinkToFit="0" wrapText="1"/>
    </xf>
    <xf borderId="5" fillId="0" fontId="119" numFmtId="0" xfId="0" applyAlignment="1" applyBorder="1" applyFont="1">
      <alignment shrinkToFit="0" wrapText="1"/>
    </xf>
    <xf borderId="5" fillId="0" fontId="73" numFmtId="0" xfId="0" applyAlignment="1" applyBorder="1" applyFont="1">
      <alignment readingOrder="0" shrinkToFit="0" wrapText="1"/>
    </xf>
    <xf borderId="6" fillId="0" fontId="73" numFmtId="0" xfId="0" applyAlignment="1" applyBorder="1" applyFont="1">
      <alignment shrinkToFit="0" wrapText="1"/>
    </xf>
    <xf borderId="0" fillId="3" fontId="120" numFmtId="165" xfId="0" applyAlignment="1" applyFont="1" applyNumberFormat="1">
      <alignment horizontal="center" readingOrder="0" shrinkToFit="0" vertical="bottom" wrapText="1"/>
    </xf>
    <xf borderId="0" fillId="3" fontId="121" numFmtId="169" xfId="0" applyAlignment="1" applyFont="1" applyNumberFormat="1">
      <alignment readingOrder="0" shrinkToFit="0" wrapText="1"/>
    </xf>
    <xf borderId="0" fillId="0" fontId="13" numFmtId="166" xfId="0" applyAlignment="1" applyFont="1" applyNumberFormat="1">
      <alignment horizontal="center" readingOrder="0" shrinkToFit="0" vertical="bottom" wrapText="1"/>
    </xf>
    <xf borderId="0" fillId="0" fontId="13" numFmtId="165" xfId="0" applyAlignment="1" applyFont="1" applyNumberFormat="1">
      <alignment horizontal="center" readingOrder="0" shrinkToFit="0" vertical="bottom" wrapText="1"/>
    </xf>
    <xf borderId="4" fillId="4" fontId="13" numFmtId="0" xfId="0" applyAlignment="1" applyBorder="1" applyFont="1">
      <alignment readingOrder="0" shrinkToFit="0" wrapText="1"/>
    </xf>
    <xf borderId="4" fillId="4" fontId="122" numFmtId="0" xfId="0" applyAlignment="1" applyBorder="1" applyFont="1">
      <alignment shrinkToFit="0" wrapText="1"/>
    </xf>
    <xf borderId="4" fillId="4" fontId="13" numFmtId="166" xfId="0" applyAlignment="1" applyBorder="1" applyFont="1" applyNumberFormat="1">
      <alignment horizontal="center" readingOrder="0" shrinkToFit="0" vertical="bottom" wrapText="1"/>
    </xf>
    <xf borderId="4" fillId="4" fontId="13" numFmtId="0" xfId="0" applyAlignment="1" applyBorder="1" applyFont="1">
      <alignment shrinkToFit="0" wrapText="1"/>
    </xf>
    <xf borderId="4" fillId="4" fontId="13" numFmtId="169" xfId="0" applyAlignment="1" applyBorder="1" applyFont="1" applyNumberFormat="1">
      <alignment shrinkToFit="0" wrapText="1"/>
    </xf>
    <xf borderId="4" fillId="4" fontId="13" numFmtId="167" xfId="0" applyAlignment="1" applyBorder="1" applyFont="1" applyNumberFormat="1">
      <alignment readingOrder="0" shrinkToFit="0" wrapText="1"/>
    </xf>
    <xf borderId="5" fillId="5" fontId="13" numFmtId="0" xfId="0" applyAlignment="1" applyBorder="1" applyFont="1">
      <alignment readingOrder="0" shrinkToFit="0" wrapText="1"/>
    </xf>
    <xf borderId="5" fillId="5" fontId="123" numFmtId="0" xfId="0" applyAlignment="1" applyBorder="1" applyFont="1">
      <alignment shrinkToFit="0" wrapText="1"/>
    </xf>
    <xf borderId="5" fillId="5" fontId="13" numFmtId="166" xfId="0" applyAlignment="1" applyBorder="1" applyFont="1" applyNumberFormat="1">
      <alignment horizontal="center" readingOrder="0" shrinkToFit="0" vertical="bottom" wrapText="1"/>
    </xf>
    <xf borderId="5" fillId="5" fontId="13" numFmtId="169" xfId="0" applyAlignment="1" applyBorder="1" applyFont="1" applyNumberFormat="1">
      <alignment readingOrder="0" shrinkToFit="0" wrapText="1"/>
    </xf>
    <xf borderId="5" fillId="5" fontId="124" numFmtId="167" xfId="0" applyAlignment="1" applyBorder="1" applyFont="1" applyNumberFormat="1">
      <alignment readingOrder="0" shrinkToFit="0" wrapText="1"/>
    </xf>
    <xf borderId="0" fillId="4" fontId="13" numFmtId="166" xfId="0" applyAlignment="1" applyFont="1" applyNumberFormat="1">
      <alignment horizontal="center" readingOrder="0" shrinkToFit="0" vertical="bottom" wrapText="1"/>
    </xf>
    <xf borderId="0" fillId="4" fontId="13" numFmtId="165" xfId="0" applyAlignment="1" applyFont="1" applyNumberFormat="1">
      <alignment horizontal="center" readingOrder="0" shrinkToFit="0" vertical="bottom" wrapText="1"/>
    </xf>
    <xf borderId="0" fillId="4" fontId="13" numFmtId="169" xfId="0" applyAlignment="1" applyFont="1" applyNumberFormat="1">
      <alignment shrinkToFit="0" wrapText="1"/>
    </xf>
    <xf borderId="0" fillId="5" fontId="13" numFmtId="0" xfId="0" applyAlignment="1" applyFont="1">
      <alignment readingOrder="0" shrinkToFit="0" wrapText="1"/>
    </xf>
    <xf borderId="0" fillId="5" fontId="125" numFmtId="0" xfId="0" applyAlignment="1" applyFont="1">
      <alignment shrinkToFit="0" wrapText="1"/>
    </xf>
    <xf borderId="0" fillId="5" fontId="13" numFmtId="166" xfId="0" applyAlignment="1" applyFont="1" applyNumberFormat="1">
      <alignment horizontal="center" readingOrder="0" shrinkToFit="0" vertical="bottom" wrapText="1"/>
    </xf>
    <xf borderId="0" fillId="5" fontId="13" numFmtId="0" xfId="0" applyAlignment="1" applyFont="1">
      <alignment shrinkToFit="0" wrapText="1"/>
    </xf>
    <xf borderId="0" fillId="5" fontId="13" numFmtId="169" xfId="0" applyAlignment="1" applyFont="1" applyNumberFormat="1">
      <alignment shrinkToFit="0" wrapText="1"/>
    </xf>
    <xf borderId="0" fillId="5" fontId="126" numFmtId="167" xfId="0" applyAlignment="1" applyFont="1" applyNumberFormat="1">
      <alignment readingOrder="0" shrinkToFit="0" wrapText="1"/>
    </xf>
    <xf borderId="0" fillId="4" fontId="13" numFmtId="169" xfId="0" applyAlignment="1" applyFont="1" applyNumberFormat="1">
      <alignment readingOrder="0" shrinkToFit="0" wrapText="1"/>
    </xf>
    <xf borderId="4" fillId="0" fontId="13" numFmtId="0" xfId="0" applyAlignment="1" applyBorder="1" applyFont="1">
      <alignment readingOrder="0" shrinkToFit="0" wrapText="1"/>
    </xf>
    <xf borderId="4" fillId="0" fontId="127" numFmtId="0" xfId="0" applyAlignment="1" applyBorder="1" applyFont="1">
      <alignment shrinkToFit="0" wrapText="1"/>
    </xf>
    <xf borderId="4" fillId="0" fontId="13" numFmtId="166" xfId="0" applyAlignment="1" applyBorder="1" applyFont="1" applyNumberFormat="1">
      <alignment horizontal="center" readingOrder="0" shrinkToFit="0" vertical="bottom" wrapText="1"/>
    </xf>
    <xf borderId="4" fillId="0" fontId="13" numFmtId="165" xfId="0" applyAlignment="1" applyBorder="1" applyFont="1" applyNumberFormat="1">
      <alignment horizontal="center" readingOrder="0" shrinkToFit="0" vertical="bottom" wrapText="1"/>
    </xf>
    <xf borderId="4" fillId="0" fontId="13" numFmtId="0" xfId="0" applyAlignment="1" applyBorder="1" applyFont="1">
      <alignment shrinkToFit="0" wrapText="1"/>
    </xf>
    <xf borderId="4" fillId="0" fontId="13" numFmtId="169" xfId="0" applyAlignment="1" applyBorder="1" applyFont="1" applyNumberFormat="1">
      <alignment shrinkToFit="0" wrapText="1"/>
    </xf>
    <xf borderId="4" fillId="0" fontId="128" numFmtId="167" xfId="0" applyAlignment="1" applyBorder="1" applyFont="1" applyNumberFormat="1">
      <alignment readingOrder="0" shrinkToFit="0" wrapText="1"/>
    </xf>
    <xf borderId="5" fillId="4" fontId="13" numFmtId="166" xfId="0" applyAlignment="1" applyBorder="1" applyFont="1" applyNumberFormat="1">
      <alignment horizontal="center" readingOrder="0" shrinkToFit="0" vertical="bottom" wrapText="1"/>
    </xf>
    <xf borderId="5" fillId="4" fontId="13" numFmtId="169" xfId="0" applyAlignment="1" applyBorder="1" applyFont="1" applyNumberFormat="1">
      <alignment shrinkToFit="0" wrapText="1"/>
    </xf>
    <xf borderId="5" fillId="4" fontId="129" numFmtId="167" xfId="0" applyAlignment="1" applyBorder="1" applyFont="1" applyNumberFormat="1">
      <alignment readingOrder="0" shrinkToFit="0" wrapText="1"/>
    </xf>
    <xf borderId="4" fillId="5" fontId="13" numFmtId="0" xfId="0" applyAlignment="1" applyBorder="1" applyFont="1">
      <alignment readingOrder="0" shrinkToFit="0" wrapText="1"/>
    </xf>
    <xf borderId="4" fillId="5" fontId="130" numFmtId="0" xfId="0" applyAlignment="1" applyBorder="1" applyFont="1">
      <alignment shrinkToFit="0" wrapText="1"/>
    </xf>
    <xf borderId="4" fillId="5" fontId="13" numFmtId="166" xfId="0" applyAlignment="1" applyBorder="1" applyFont="1" applyNumberFormat="1">
      <alignment horizontal="center" readingOrder="0" shrinkToFit="0" vertical="bottom" wrapText="1"/>
    </xf>
    <xf borderId="4" fillId="5" fontId="13" numFmtId="0" xfId="0" applyAlignment="1" applyBorder="1" applyFont="1">
      <alignment shrinkToFit="0" wrapText="1"/>
    </xf>
    <xf borderId="4" fillId="5" fontId="13" numFmtId="169" xfId="0" applyAlignment="1" applyBorder="1" applyFont="1" applyNumberFormat="1">
      <alignment shrinkToFit="0" wrapText="1"/>
    </xf>
    <xf borderId="4" fillId="5" fontId="131" numFmtId="167" xfId="0" applyAlignment="1" applyBorder="1" applyFont="1" applyNumberFormat="1">
      <alignment readingOrder="0" shrinkToFit="0" wrapText="1"/>
    </xf>
    <xf borderId="5" fillId="4" fontId="13" numFmtId="0" xfId="0" applyAlignment="1" applyBorder="1" applyFont="1">
      <alignment horizontal="right" readingOrder="0" shrinkToFit="0" vertical="bottom" wrapText="1"/>
    </xf>
    <xf borderId="5" fillId="4" fontId="13" numFmtId="169" xfId="0" applyAlignment="1" applyBorder="1" applyFont="1" applyNumberFormat="1">
      <alignment readingOrder="0" shrinkToFit="0" wrapText="1"/>
    </xf>
    <xf borderId="0" fillId="5" fontId="13" numFmtId="0" xfId="0" applyAlignment="1" applyFont="1">
      <alignment shrinkToFit="0" wrapText="1"/>
    </xf>
    <xf borderId="4" fillId="4" fontId="132" numFmtId="167" xfId="0" applyAlignment="1" applyBorder="1" applyFont="1" applyNumberFormat="1">
      <alignment readingOrder="0" shrinkToFit="0" wrapText="1"/>
    </xf>
    <xf borderId="5" fillId="5" fontId="13" numFmtId="0" xfId="0" applyAlignment="1" applyBorder="1" applyFont="1">
      <alignment horizontal="right" readingOrder="0" shrinkToFit="0" vertical="bottom" wrapText="1"/>
    </xf>
    <xf borderId="5" fillId="5" fontId="23" numFmtId="0" xfId="0" applyAlignment="1" applyBorder="1" applyFont="1">
      <alignment readingOrder="0" shrinkToFit="0" wrapText="1"/>
    </xf>
    <xf borderId="5" fillId="5" fontId="23" numFmtId="169" xfId="0" applyAlignment="1" applyBorder="1" applyFont="1" applyNumberFormat="1">
      <alignment horizontal="right" readingOrder="0" shrinkToFit="0" vertical="bottom" wrapText="1"/>
    </xf>
    <xf borderId="4" fillId="5" fontId="13" numFmtId="165" xfId="0" applyAlignment="1" applyBorder="1" applyFont="1" applyNumberFormat="1">
      <alignment horizontal="center" readingOrder="0" shrinkToFit="0" vertical="bottom" wrapText="1"/>
    </xf>
    <xf borderId="4" fillId="5" fontId="13" numFmtId="169" xfId="0" applyAlignment="1" applyBorder="1" applyFont="1" applyNumberFormat="1">
      <alignment readingOrder="0" shrinkToFit="0" wrapText="1"/>
    </xf>
    <xf borderId="4" fillId="4" fontId="13" numFmtId="169" xfId="0" applyAlignment="1" applyBorder="1" applyFont="1" applyNumberFormat="1">
      <alignment readingOrder="0" shrinkToFit="0" wrapText="1"/>
    </xf>
    <xf borderId="5" fillId="5" fontId="13" numFmtId="169" xfId="0" applyAlignment="1" applyBorder="1" applyFont="1" applyNumberFormat="1">
      <alignment horizontal="right" readingOrder="0" shrinkToFit="0" vertical="bottom" wrapText="1"/>
    </xf>
    <xf borderId="0" fillId="0" fontId="56" numFmtId="167" xfId="0" applyAlignment="1" applyFont="1" applyNumberFormat="1">
      <alignment shrinkToFit="0" wrapText="1"/>
    </xf>
    <xf borderId="0" fillId="5" fontId="13" numFmtId="0" xfId="0" applyAlignment="1" applyFont="1">
      <alignment horizontal="right" readingOrder="0" shrinkToFit="0" vertical="bottom" wrapText="1"/>
    </xf>
    <xf borderId="0" fillId="5" fontId="13" numFmtId="171" xfId="0" applyAlignment="1" applyFont="1" applyNumberFormat="1">
      <alignment readingOrder="0" shrinkToFit="0" wrapText="1"/>
    </xf>
    <xf borderId="4" fillId="4" fontId="13" numFmtId="174" xfId="0" applyAlignment="1" applyBorder="1" applyFont="1" applyNumberFormat="1">
      <alignment readingOrder="0" shrinkToFit="0" wrapText="1"/>
    </xf>
    <xf borderId="0" fillId="5" fontId="13" numFmtId="167" xfId="0" applyAlignment="1" applyFont="1" applyNumberFormat="1">
      <alignment readingOrder="0" shrinkToFit="0" wrapText="1"/>
    </xf>
    <xf borderId="0" fillId="4" fontId="23" numFmtId="0" xfId="0" applyAlignment="1" applyFont="1">
      <alignment readingOrder="0" shrinkToFit="0" wrapText="1"/>
    </xf>
    <xf borderId="0" fillId="4" fontId="23" numFmtId="169" xfId="0" applyAlignment="1" applyFont="1" applyNumberFormat="1">
      <alignment horizontal="right" readingOrder="0" shrinkToFit="0" vertical="bottom" wrapText="1"/>
    </xf>
    <xf borderId="5" fillId="4" fontId="23" numFmtId="169" xfId="0" applyAlignment="1" applyBorder="1" applyFont="1" applyNumberFormat="1">
      <alignment horizontal="right" readingOrder="0" shrinkToFit="0" vertical="bottom" wrapText="1"/>
    </xf>
    <xf borderId="8" fillId="4" fontId="23" numFmtId="169" xfId="0" applyAlignment="1" applyBorder="1" applyFont="1" applyNumberFormat="1">
      <alignment horizontal="right" readingOrder="0" shrinkToFit="0" vertical="bottom" wrapText="1"/>
    </xf>
    <xf borderId="0" fillId="0" fontId="23" numFmtId="0" xfId="0" applyAlignment="1" applyFont="1">
      <alignment readingOrder="0" shrinkToFit="0" wrapText="1"/>
    </xf>
    <xf borderId="0" fillId="0" fontId="23" numFmtId="169" xfId="0" applyAlignment="1" applyFont="1" applyNumberFormat="1">
      <alignment horizontal="right" readingOrder="0" shrinkToFit="0" vertical="bottom" wrapText="1"/>
    </xf>
    <xf borderId="0" fillId="4" fontId="13" numFmtId="167" xfId="0" applyAlignment="1" applyFont="1" applyNumberFormat="1">
      <alignment readingOrder="0" shrinkToFit="0" wrapText="1"/>
    </xf>
    <xf borderId="0" fillId="0" fontId="13" numFmtId="175" xfId="0" applyAlignment="1" applyFont="1" applyNumberFormat="1">
      <alignment readingOrder="0" shrinkToFit="0" wrapText="1"/>
    </xf>
    <xf borderId="5" fillId="5" fontId="13" numFmtId="169" xfId="0" applyAlignment="1" applyBorder="1" applyFont="1" applyNumberFormat="1">
      <alignment shrinkToFit="0" wrapText="1"/>
    </xf>
    <xf borderId="9" fillId="4" fontId="13" numFmtId="166" xfId="0" applyAlignment="1" applyBorder="1" applyFont="1" applyNumberFormat="1">
      <alignment horizontal="center" readingOrder="0" shrinkToFit="0" vertical="bottom" wrapText="1"/>
    </xf>
    <xf borderId="10" fillId="4" fontId="13" numFmtId="166" xfId="0" applyAlignment="1" applyBorder="1" applyFont="1" applyNumberFormat="1">
      <alignment horizontal="center" readingOrder="0" shrinkToFit="0" vertical="bottom" wrapText="1"/>
    </xf>
    <xf borderId="5" fillId="0" fontId="23" numFmtId="0" xfId="0" applyAlignment="1" applyBorder="1" applyFont="1">
      <alignment readingOrder="0" shrinkToFit="0" wrapText="1"/>
    </xf>
    <xf borderId="5" fillId="0" fontId="133" numFmtId="0" xfId="0" applyAlignment="1" applyBorder="1" applyFont="1">
      <alignment shrinkToFit="0" wrapText="1"/>
    </xf>
    <xf borderId="5" fillId="0" fontId="13" numFmtId="166" xfId="0" applyAlignment="1" applyBorder="1" applyFont="1" applyNumberFormat="1">
      <alignment horizontal="center" readingOrder="0" shrinkToFit="0" vertical="bottom" wrapText="1"/>
    </xf>
    <xf borderId="5" fillId="0" fontId="134" numFmtId="167" xfId="0" applyAlignment="1" applyBorder="1" applyFont="1" applyNumberFormat="1">
      <alignment readingOrder="0" shrinkToFit="0" wrapText="1"/>
    </xf>
    <xf borderId="5" fillId="0" fontId="13" numFmtId="0" xfId="0" applyAlignment="1" applyBorder="1" applyFont="1">
      <alignment shrinkToFit="0" wrapText="1"/>
    </xf>
    <xf borderId="0" fillId="4" fontId="13" numFmtId="169" xfId="0" applyAlignment="1" applyFont="1" applyNumberFormat="1">
      <alignment horizontal="right" readingOrder="0" shrinkToFit="0" vertical="bottom" wrapText="1"/>
    </xf>
    <xf borderId="0" fillId="0" fontId="13" numFmtId="174" xfId="0" applyAlignment="1" applyFont="1" applyNumberFormat="1">
      <alignment readingOrder="0" shrinkToFit="0" wrapText="1"/>
    </xf>
    <xf borderId="0" fillId="0" fontId="13" numFmtId="165" xfId="0" applyAlignment="1" applyFont="1" applyNumberFormat="1">
      <alignment horizontal="center" shrinkToFit="0" vertical="bottom" wrapText="1"/>
    </xf>
    <xf borderId="0" fillId="0" fontId="13" numFmtId="165" xfId="0" applyAlignment="1" applyFont="1" applyNumberFormat="1">
      <alignment horizontal="right" readingOrder="0" shrinkToFit="0" vertical="bottom" wrapText="1"/>
    </xf>
    <xf borderId="0" fillId="0" fontId="13" numFmtId="165" xfId="0" applyAlignment="1" applyFont="1" applyNumberFormat="1">
      <alignment shrinkToFit="0" wrapText="1"/>
    </xf>
    <xf borderId="0" fillId="3" fontId="135" numFmtId="0" xfId="0" applyAlignment="1" applyFont="1">
      <alignment horizontal="left" readingOrder="0" shrinkToFit="0" vertical="bottom" wrapText="1"/>
    </xf>
    <xf borderId="0" fillId="3" fontId="136" numFmtId="0" xfId="0" applyAlignment="1" applyFont="1">
      <alignment horizontal="center" readingOrder="0" shrinkToFit="0" vertical="bottom" wrapText="1"/>
    </xf>
    <xf borderId="0" fillId="3" fontId="136" numFmtId="165" xfId="0" applyAlignment="1" applyFont="1" applyNumberFormat="1">
      <alignment horizontal="center" readingOrder="0" shrinkToFit="0" vertical="bottom" wrapText="1"/>
    </xf>
    <xf borderId="0" fillId="4" fontId="137" numFmtId="0" xfId="0" applyAlignment="1" applyFont="1">
      <alignment readingOrder="0" shrinkToFit="0" wrapText="1"/>
    </xf>
    <xf borderId="0" fillId="4" fontId="138" numFmtId="0" xfId="0" applyAlignment="1" applyFont="1">
      <alignment shrinkToFit="0" wrapText="1"/>
    </xf>
    <xf borderId="0" fillId="4" fontId="138" numFmtId="165" xfId="0" applyAlignment="1" applyFont="1" applyNumberFormat="1">
      <alignment horizontal="center" shrinkToFit="0" vertical="bottom" wrapText="1"/>
    </xf>
    <xf borderId="0" fillId="0" fontId="138" numFmtId="0" xfId="0" applyAlignment="1" applyFont="1">
      <alignment horizontal="right" readingOrder="0" shrinkToFit="0" vertical="bottom" wrapText="1"/>
    </xf>
    <xf borderId="0" fillId="0" fontId="138" numFmtId="0" xfId="0" applyAlignment="1" applyFont="1">
      <alignment shrinkToFit="0" wrapText="1"/>
    </xf>
    <xf borderId="0" fillId="6" fontId="138" numFmtId="0" xfId="0" applyAlignment="1" applyFont="1">
      <alignment shrinkToFit="0" wrapText="1"/>
    </xf>
    <xf borderId="0" fillId="0" fontId="138" numFmtId="165" xfId="0" applyAlignment="1" applyFont="1" applyNumberFormat="1">
      <alignment horizontal="center" shrinkToFit="0" vertical="bottom" wrapText="1"/>
    </xf>
    <xf borderId="0" fillId="6" fontId="139" numFmtId="0" xfId="0" applyAlignment="1" applyFont="1">
      <alignment shrinkToFit="0" wrapText="1"/>
    </xf>
    <xf borderId="0" fillId="5" fontId="1" numFmtId="0" xfId="0" applyAlignment="1" applyFont="1">
      <alignment shrinkToFit="0" wrapText="1"/>
    </xf>
    <xf borderId="0" fillId="6" fontId="1" numFmtId="0" xfId="0" applyAlignment="1" applyFont="1">
      <alignment shrinkToFit="0" wrapText="1"/>
    </xf>
    <xf borderId="0" fillId="4" fontId="140" numFmtId="0" xfId="0" applyAlignment="1" applyFont="1">
      <alignment shrinkToFit="0" wrapText="1"/>
    </xf>
    <xf borderId="0" fillId="4" fontId="141" numFmtId="0" xfId="0" applyAlignment="1" applyFont="1">
      <alignment shrinkToFit="0" wrapText="1"/>
    </xf>
    <xf borderId="0" fillId="4" fontId="140" numFmtId="165" xfId="0" applyAlignment="1" applyFont="1" applyNumberFormat="1">
      <alignment horizontal="center" shrinkToFit="0" vertical="bottom" wrapText="1"/>
    </xf>
    <xf borderId="0" fillId="3" fontId="142" numFmtId="0" xfId="0" applyAlignment="1" applyFont="1">
      <alignment horizontal="center" readingOrder="0" shrinkToFit="0" vertical="bottom" wrapText="1"/>
    </xf>
    <xf borderId="0" fillId="3" fontId="138" numFmtId="0" xfId="0" applyAlignment="1" applyFont="1">
      <alignment horizontal="center" readingOrder="0" shrinkToFit="0" vertical="bottom" wrapText="1"/>
    </xf>
    <xf borderId="0" fillId="3" fontId="138" numFmtId="0" xfId="0" applyAlignment="1" applyFont="1">
      <alignment readingOrder="0" shrinkToFit="0" wrapText="1"/>
    </xf>
    <xf borderId="0" fillId="4" fontId="143" numFmtId="0" xfId="0" applyAlignment="1" applyFont="1">
      <alignment readingOrder="0" shrinkToFit="0" wrapText="1"/>
    </xf>
    <xf borderId="0" fillId="6" fontId="138" numFmtId="0" xfId="0" applyAlignment="1" applyFont="1">
      <alignment readingOrder="0" shrinkToFit="0" wrapText="1"/>
    </xf>
    <xf borderId="0" fillId="6" fontId="144" numFmtId="165" xfId="0" applyAlignment="1" applyFont="1" applyNumberFormat="1">
      <alignment horizontal="center" shrinkToFit="0" vertical="bottom" wrapText="1"/>
    </xf>
    <xf borderId="0" fillId="4" fontId="145" numFmtId="0" xfId="0" applyAlignment="1" applyFont="1">
      <alignment shrinkToFit="0" wrapText="1"/>
    </xf>
    <xf borderId="0" fillId="4" fontId="144" numFmtId="165" xfId="0" applyAlignment="1" applyFont="1" applyNumberFormat="1">
      <alignment horizontal="center" shrinkToFit="0" vertical="bottom" wrapText="1"/>
    </xf>
    <xf borderId="0" fillId="2" fontId="51" numFmtId="0" xfId="0" applyAlignment="1" applyFont="1">
      <alignment horizontal="center" readingOrder="0" shrinkToFit="0" vertical="bottom" wrapText="1"/>
    </xf>
    <xf borderId="0" fillId="2" fontId="138" numFmtId="0" xfId="0" applyAlignment="1" applyFont="1">
      <alignment shrinkToFit="0" wrapText="1"/>
    </xf>
    <xf borderId="0" fillId="2" fontId="138" numFmtId="165" xfId="0" applyAlignment="1" applyFont="1" applyNumberFormat="1">
      <alignment horizontal="center" shrinkToFit="0" vertical="bottom" wrapText="1"/>
    </xf>
    <xf borderId="0" fillId="2" fontId="144" numFmtId="165" xfId="0" applyAlignment="1" applyFont="1" applyNumberFormat="1">
      <alignment horizontal="center" shrinkToFit="0" vertical="bottom" wrapText="1"/>
    </xf>
    <xf borderId="0" fillId="4" fontId="143" numFmtId="0" xfId="0" applyAlignment="1" applyFont="1">
      <alignment horizontal="left" readingOrder="0" shrinkToFit="0" vertical="bottom" wrapText="1"/>
    </xf>
    <xf borderId="0" fillId="5" fontId="143" numFmtId="0" xfId="0" applyAlignment="1" applyFont="1">
      <alignment horizontal="left" readingOrder="0" shrinkToFit="0" vertical="bottom" wrapText="1"/>
    </xf>
    <xf borderId="0" fillId="5" fontId="138" numFmtId="0" xfId="0" applyAlignment="1" applyFont="1">
      <alignment shrinkToFit="0" wrapText="1"/>
    </xf>
    <xf borderId="0" fillId="5" fontId="138" numFmtId="165" xfId="0" applyAlignment="1" applyFont="1" applyNumberFormat="1">
      <alignment horizontal="center" shrinkToFit="0" vertical="bottom" wrapText="1"/>
    </xf>
    <xf borderId="0" fillId="5" fontId="144" numFmtId="165" xfId="0" applyAlignment="1" applyFont="1" applyNumberFormat="1">
      <alignment horizontal="center" shrinkToFit="0" vertical="bottom" wrapText="1"/>
    </xf>
    <xf borderId="0" fillId="5" fontId="143" numFmtId="0" xfId="0" applyAlignment="1" applyFont="1">
      <alignment horizontal="left" shrinkToFit="0" vertical="bottom" wrapText="1"/>
    </xf>
    <xf borderId="0" fillId="4" fontId="146" numFmtId="0" xfId="0" applyAlignment="1" applyFont="1">
      <alignment shrinkToFit="0" wrapText="1"/>
    </xf>
    <xf borderId="0" fillId="4" fontId="146" numFmtId="0" xfId="0" applyAlignment="1" applyFont="1">
      <alignment readingOrder="0" shrinkToFit="0" wrapText="1"/>
    </xf>
    <xf borderId="0" fillId="4" fontId="140" numFmtId="0" xfId="0" applyAlignment="1" applyFont="1">
      <alignment readingOrder="0" shrinkToFit="0" wrapText="1"/>
    </xf>
    <xf borderId="0" fillId="5" fontId="137" numFmtId="0" xfId="0" applyAlignment="1" applyFont="1">
      <alignment readingOrder="0" shrinkToFit="0" wrapText="1"/>
    </xf>
    <xf borderId="0" fillId="5" fontId="140" numFmtId="0" xfId="0" applyAlignment="1" applyFont="1">
      <alignment shrinkToFit="0" wrapText="1"/>
    </xf>
    <xf borderId="0" fillId="5" fontId="146" numFmtId="0" xfId="0" applyAlignment="1" applyFont="1">
      <alignment shrinkToFit="0" wrapText="1"/>
    </xf>
    <xf borderId="0" fillId="5" fontId="146" numFmtId="0" xfId="0" applyAlignment="1" applyFont="1">
      <alignment readingOrder="0" shrinkToFit="0" wrapText="1"/>
    </xf>
    <xf borderId="0" fillId="5" fontId="140" numFmtId="0" xfId="0" applyAlignment="1" applyFont="1">
      <alignment readingOrder="0" shrinkToFit="0" wrapText="1"/>
    </xf>
    <xf borderId="0" fillId="5" fontId="140" numFmtId="165" xfId="0" applyAlignment="1" applyFont="1" applyNumberFormat="1">
      <alignment horizontal="center" shrinkToFit="0" vertical="bottom" wrapText="1"/>
    </xf>
    <xf borderId="0" fillId="0" fontId="140" numFmtId="0" xfId="0" applyAlignment="1" applyFont="1">
      <alignment horizontal="right" readingOrder="0" shrinkToFit="0" vertical="bottom" wrapText="1"/>
    </xf>
    <xf borderId="0" fillId="0" fontId="140" numFmtId="0" xfId="0" applyAlignment="1" applyFont="1">
      <alignment shrinkToFit="0" wrapText="1"/>
    </xf>
    <xf borderId="0" fillId="0" fontId="146" numFmtId="0" xfId="0" applyAlignment="1" applyFont="1">
      <alignment shrinkToFit="0" wrapText="1"/>
    </xf>
    <xf borderId="0" fillId="6" fontId="140" numFmtId="0" xfId="0" applyAlignment="1" applyFont="1">
      <alignment shrinkToFit="0" wrapText="1"/>
    </xf>
    <xf borderId="0" fillId="0" fontId="140" numFmtId="165" xfId="0" applyAlignment="1" applyFont="1" applyNumberFormat="1">
      <alignment horizontal="center" shrinkToFit="0" vertical="bottom" wrapText="1"/>
    </xf>
    <xf borderId="0" fillId="0" fontId="137" numFmtId="0" xfId="0" applyAlignment="1" applyFont="1">
      <alignment readingOrder="0" shrinkToFit="0" wrapText="1"/>
    </xf>
    <xf borderId="0" fillId="0" fontId="140" numFmtId="0" xfId="0" applyAlignment="1" applyFont="1">
      <alignment readingOrder="0" shrinkToFit="0" wrapText="1"/>
    </xf>
    <xf borderId="0" fillId="4" fontId="147" numFmtId="0" xfId="0" applyAlignment="1" applyFont="1">
      <alignment shrinkToFit="0" wrapText="1"/>
    </xf>
    <xf borderId="0" fillId="4" fontId="138" numFmtId="0" xfId="0" applyAlignment="1" applyFont="1">
      <alignment readingOrder="0" shrinkToFit="0" wrapText="1"/>
    </xf>
    <xf borderId="0" fillId="5" fontId="143" numFmtId="0" xfId="0" applyAlignment="1" applyFont="1">
      <alignment readingOrder="0" shrinkToFit="0" wrapText="1"/>
    </xf>
    <xf borderId="0" fillId="5" fontId="138" numFmtId="0" xfId="0" applyAlignment="1" applyFont="1">
      <alignment readingOrder="0" shrinkToFit="0" wrapText="1"/>
    </xf>
    <xf borderId="0" fillId="5" fontId="147" numFmtId="0" xfId="0" applyAlignment="1" applyFont="1">
      <alignment shrinkToFit="0" wrapText="1"/>
    </xf>
    <xf borderId="0" fillId="4" fontId="147" numFmtId="0" xfId="0" applyAlignment="1" applyFont="1">
      <alignment readingOrder="0" shrinkToFit="0" wrapText="1"/>
    </xf>
    <xf borderId="0" fillId="5" fontId="138" numFmtId="165" xfId="0" applyAlignment="1" applyFont="1" applyNumberFormat="1">
      <alignment horizontal="center" readingOrder="0" shrinkToFit="0" vertical="bottom" wrapText="1"/>
    </xf>
    <xf borderId="0" fillId="5" fontId="143" numFmtId="0" xfId="0" applyAlignment="1" applyFont="1">
      <alignment shrinkToFit="0" wrapText="1"/>
    </xf>
    <xf borderId="0" fillId="5" fontId="143" numFmtId="0" xfId="0" applyAlignment="1" applyFont="1">
      <alignment horizontal="right" readingOrder="0" shrinkToFit="0" vertical="bottom" wrapText="1"/>
    </xf>
    <xf borderId="0" fillId="5" fontId="138" numFmtId="166" xfId="0" applyAlignment="1" applyFont="1" applyNumberFormat="1">
      <alignment readingOrder="0" shrinkToFit="0" wrapText="1"/>
    </xf>
    <xf borderId="0" fillId="2" fontId="61" numFmtId="0" xfId="0" applyAlignment="1" applyFont="1">
      <alignment horizontal="center" shrinkToFit="0" vertical="bottom" wrapText="1"/>
    </xf>
    <xf borderId="0" fillId="4" fontId="61" numFmtId="0" xfId="0" applyAlignment="1" applyFont="1">
      <alignment horizontal="center" readingOrder="0" shrinkToFit="0" vertical="bottom" wrapText="1"/>
    </xf>
    <xf borderId="0" fillId="4" fontId="61" numFmtId="0" xfId="0" applyAlignment="1" applyFont="1">
      <alignment horizontal="center" shrinkToFit="0" vertical="bottom" wrapText="1"/>
    </xf>
    <xf borderId="0" fillId="0" fontId="61" numFmtId="0" xfId="0" applyAlignment="1" applyFont="1">
      <alignment horizontal="center" shrinkToFit="0" vertical="bottom" wrapText="1"/>
    </xf>
    <xf borderId="0" fillId="0" fontId="61" numFmtId="0" xfId="0" applyAlignment="1" applyFont="1">
      <alignment horizontal="center" readingOrder="0" shrinkToFit="0" vertical="bottom" wrapText="1"/>
    </xf>
    <xf borderId="0" fillId="0" fontId="61" numFmtId="165" xfId="0" applyAlignment="1" applyFont="1" applyNumberFormat="1">
      <alignment horizontal="center" readingOrder="0" shrinkToFit="0" vertical="bottom" wrapText="1"/>
    </xf>
    <xf borderId="0" fillId="3" fontId="148" numFmtId="0" xfId="0" applyAlignment="1" applyFont="1">
      <alignment horizontal="left" readingOrder="0" shrinkToFit="0" vertical="bottom" wrapText="1"/>
    </xf>
    <xf borderId="0" fillId="3" fontId="148" numFmtId="0" xfId="0" applyAlignment="1" applyFont="1">
      <alignment readingOrder="0" shrinkToFit="0" wrapText="1"/>
    </xf>
    <xf borderId="0" fillId="3" fontId="148" numFmtId="165" xfId="0" applyAlignment="1" applyFont="1" applyNumberFormat="1">
      <alignment horizontal="center" readingOrder="0" shrinkToFit="0" vertical="bottom" wrapText="1"/>
    </xf>
    <xf borderId="0" fillId="0" fontId="13" numFmtId="176" xfId="0" applyAlignment="1" applyFont="1" applyNumberFormat="1">
      <alignment horizontal="center" readingOrder="0" shrinkToFit="0" vertical="bottom" wrapText="1"/>
    </xf>
    <xf borderId="0" fillId="4" fontId="13" numFmtId="176" xfId="0" applyAlignment="1" applyFont="1" applyNumberFormat="1">
      <alignment horizontal="center" readingOrder="0" shrinkToFit="0" vertical="bottom" wrapText="1"/>
    </xf>
    <xf borderId="0" fillId="5" fontId="13" numFmtId="176" xfId="0" applyAlignment="1" applyFont="1" applyNumberFormat="1">
      <alignment horizontal="center" readingOrder="0" shrinkToFit="0" vertical="bottom" wrapText="1"/>
    </xf>
    <xf borderId="0" fillId="5" fontId="13" numFmtId="165" xfId="0" applyAlignment="1" applyFont="1" applyNumberFormat="1">
      <alignment horizontal="center" shrinkToFit="0" vertical="bottom" wrapText="1"/>
    </xf>
    <xf borderId="0" fillId="4" fontId="41" numFmtId="0" xfId="0" applyAlignment="1" applyFont="1">
      <alignment shrinkToFit="0" wrapText="1"/>
    </xf>
    <xf borderId="0" fillId="4" fontId="41" numFmtId="165" xfId="0" applyAlignment="1" applyFont="1" applyNumberFormat="1">
      <alignment horizontal="center" shrinkToFit="0" vertical="bottom" wrapText="1"/>
    </xf>
    <xf borderId="0" fillId="4" fontId="13" numFmtId="165" xfId="0" applyAlignment="1" applyFont="1" applyNumberFormat="1">
      <alignment horizontal="center" shrinkToFit="0" vertical="bottom" wrapText="1"/>
    </xf>
    <xf borderId="0" fillId="0" fontId="41" numFmtId="165" xfId="0" applyAlignment="1" applyFont="1" applyNumberFormat="1">
      <alignment horizontal="center" shrinkToFit="0" vertical="bottom" wrapText="1"/>
    </xf>
    <xf borderId="0" fillId="5" fontId="41" numFmtId="0" xfId="0" applyAlignment="1" applyFont="1">
      <alignment shrinkToFit="0" wrapText="1"/>
    </xf>
    <xf borderId="0" fillId="5" fontId="41" numFmtId="165" xfId="0" applyAlignment="1" applyFont="1" applyNumberFormat="1">
      <alignment horizontal="center" shrinkToFit="0" vertical="bottom" wrapText="1"/>
    </xf>
    <xf borderId="0" fillId="3" fontId="136" numFmtId="0" xfId="0" applyAlignment="1" applyFont="1">
      <alignment horizontal="center" shrinkToFit="0" vertical="bottom" wrapText="1"/>
    </xf>
    <xf borderId="0" fillId="3" fontId="136" numFmtId="165" xfId="0" applyAlignment="1" applyFont="1" applyNumberFormat="1">
      <alignment horizontal="center" shrinkToFit="0" vertical="bottom" wrapText="1"/>
    </xf>
    <xf borderId="0" fillId="4" fontId="138" numFmtId="0" xfId="0" applyAlignment="1" applyFont="1">
      <alignment horizontal="right" shrinkToFit="0" vertical="bottom" wrapText="1"/>
    </xf>
    <xf borderId="0" fillId="0" fontId="138" numFmtId="0" xfId="0" applyAlignment="1" applyFont="1">
      <alignment horizontal="right" shrinkToFit="0" vertical="bottom" wrapText="1"/>
    </xf>
    <xf borderId="0" fillId="0" fontId="143" numFmtId="0" xfId="0" applyAlignment="1" applyFont="1">
      <alignment shrinkToFit="0" wrapText="1"/>
    </xf>
    <xf borderId="4" fillId="3" fontId="149" numFmtId="0" xfId="0" applyAlignment="1" applyBorder="1" applyFont="1">
      <alignment readingOrder="0" shrinkToFit="0" wrapText="1"/>
    </xf>
    <xf borderId="4" fillId="3" fontId="150" numFmtId="165" xfId="0" applyAlignment="1" applyBorder="1" applyFont="1" applyNumberFormat="1">
      <alignment horizontal="center" readingOrder="0" shrinkToFit="0" vertical="bottom" wrapText="1"/>
    </xf>
    <xf borderId="4" fillId="3" fontId="151" numFmtId="0" xfId="0" applyAlignment="1" applyBorder="1" applyFont="1">
      <alignment horizontal="center" readingOrder="0" shrinkToFit="0" vertical="bottom" wrapText="1"/>
    </xf>
    <xf borderId="5" fillId="4" fontId="1" numFmtId="169" xfId="0" applyAlignment="1" applyBorder="1" applyFont="1" applyNumberFormat="1">
      <alignment shrinkToFit="0" wrapText="1"/>
    </xf>
    <xf borderId="0" fillId="0" fontId="1" numFmtId="169" xfId="0" applyAlignment="1" applyFont="1" applyNumberFormat="1">
      <alignment shrinkToFit="0" wrapText="1"/>
    </xf>
    <xf borderId="4" fillId="4" fontId="13" numFmtId="0" xfId="0" applyAlignment="1" applyBorder="1" applyFont="1">
      <alignment horizontal="right" readingOrder="0" shrinkToFit="0" vertical="bottom" wrapText="1"/>
    </xf>
    <xf borderId="4" fillId="4" fontId="1" numFmtId="169" xfId="0" applyAlignment="1" applyBorder="1" applyFont="1" applyNumberFormat="1">
      <alignment readingOrder="0" shrinkToFit="0" wrapText="1"/>
    </xf>
    <xf borderId="5" fillId="0" fontId="13" numFmtId="0" xfId="0" applyAlignment="1" applyBorder="1" applyFont="1">
      <alignment readingOrder="0" shrinkToFit="0" wrapText="1"/>
    </xf>
    <xf borderId="5" fillId="0" fontId="1" numFmtId="169" xfId="0" applyAlignment="1" applyBorder="1" applyFont="1" applyNumberFormat="1">
      <alignment shrinkToFit="0" wrapText="1"/>
    </xf>
    <xf borderId="0" fillId="4" fontId="1" numFmtId="169" xfId="0" applyAlignment="1" applyFont="1" applyNumberFormat="1">
      <alignment shrinkToFit="0" wrapText="1"/>
    </xf>
    <xf borderId="4" fillId="0" fontId="13" numFmtId="0" xfId="0" applyAlignment="1" applyBorder="1" applyFont="1">
      <alignment horizontal="right" readingOrder="0" shrinkToFit="0" vertical="bottom" wrapText="1"/>
    </xf>
    <xf borderId="4" fillId="0" fontId="1" numFmtId="169" xfId="0" applyAlignment="1" applyBorder="1" applyFont="1" applyNumberFormat="1">
      <alignment shrinkToFit="0" wrapText="1"/>
    </xf>
    <xf borderId="5" fillId="4" fontId="13" numFmtId="177" xfId="0" applyAlignment="1" applyBorder="1" applyFont="1" applyNumberFormat="1">
      <alignment readingOrder="0" shrinkToFit="0" wrapText="1"/>
    </xf>
    <xf borderId="4" fillId="0" fontId="1" numFmtId="169" xfId="0" applyAlignment="1" applyBorder="1" applyFont="1" applyNumberFormat="1">
      <alignment readingOrder="0" shrinkToFit="0" wrapText="1"/>
    </xf>
    <xf borderId="4" fillId="4" fontId="13" numFmtId="172" xfId="0" applyAlignment="1" applyBorder="1" applyFont="1" applyNumberFormat="1">
      <alignment readingOrder="0" shrinkToFit="0" wrapText="1"/>
    </xf>
    <xf borderId="8" fillId="5" fontId="13" numFmtId="169" xfId="0" applyAlignment="1" applyBorder="1" applyFont="1" applyNumberFormat="1">
      <alignment shrinkToFit="0" wrapText="1"/>
    </xf>
    <xf borderId="8" fillId="5" fontId="13" numFmtId="0" xfId="0" applyAlignment="1" applyBorder="1" applyFont="1">
      <alignment readingOrder="0" shrinkToFit="0" wrapText="1"/>
    </xf>
    <xf borderId="8" fillId="5" fontId="152" numFmtId="0" xfId="0" applyAlignment="1" applyBorder="1" applyFont="1">
      <alignment shrinkToFit="0" wrapText="1"/>
    </xf>
    <xf borderId="8" fillId="5" fontId="13" numFmtId="166" xfId="0" applyAlignment="1" applyBorder="1" applyFont="1" applyNumberFormat="1">
      <alignment horizontal="center" readingOrder="0" shrinkToFit="0" vertical="bottom" wrapText="1"/>
    </xf>
    <xf borderId="8" fillId="5" fontId="13" numFmtId="0" xfId="0" applyAlignment="1" applyBorder="1" applyFont="1">
      <alignment horizontal="right" readingOrder="0" shrinkToFit="0" vertical="bottom" wrapText="1"/>
    </xf>
    <xf borderId="8" fillId="5" fontId="13" numFmtId="169" xfId="0" applyAlignment="1" applyBorder="1" applyFont="1" applyNumberFormat="1">
      <alignment readingOrder="0" shrinkToFit="0" wrapText="1"/>
    </xf>
    <xf borderId="8" fillId="0" fontId="1" numFmtId="169" xfId="0" applyAlignment="1" applyBorder="1" applyFont="1" applyNumberFormat="1">
      <alignment readingOrder="0" shrinkToFit="0" wrapText="1"/>
    </xf>
    <xf borderId="8" fillId="4" fontId="13" numFmtId="0" xfId="0" applyAlignment="1" applyBorder="1" applyFont="1">
      <alignment readingOrder="0" shrinkToFit="0" wrapText="1"/>
    </xf>
    <xf borderId="8" fillId="4" fontId="153" numFmtId="0" xfId="0" applyAlignment="1" applyBorder="1" applyFont="1">
      <alignment shrinkToFit="0" wrapText="1"/>
    </xf>
    <xf borderId="8" fillId="4" fontId="13" numFmtId="166" xfId="0" applyAlignment="1" applyBorder="1" applyFont="1" applyNumberFormat="1">
      <alignment horizontal="center" readingOrder="0" shrinkToFit="0" vertical="bottom" wrapText="1"/>
    </xf>
    <xf borderId="8" fillId="4" fontId="13" numFmtId="0" xfId="0" applyAlignment="1" applyBorder="1" applyFont="1">
      <alignment horizontal="right" readingOrder="0" shrinkToFit="0" vertical="bottom" wrapText="1"/>
    </xf>
    <xf borderId="8" fillId="4" fontId="1" numFmtId="169" xfId="0" applyAlignment="1" applyBorder="1" applyFont="1" applyNumberFormat="1">
      <alignment readingOrder="0" shrinkToFit="0" wrapText="1"/>
    </xf>
    <xf borderId="11" fillId="0" fontId="13" numFmtId="0" xfId="0" applyAlignment="1" applyBorder="1" applyFont="1">
      <alignment readingOrder="0" shrinkToFit="0" wrapText="1"/>
    </xf>
    <xf borderId="11" fillId="0" fontId="154" numFmtId="0" xfId="0" applyAlignment="1" applyBorder="1" applyFont="1">
      <alignment shrinkToFit="0" wrapText="1"/>
    </xf>
    <xf borderId="11" fillId="0" fontId="13" numFmtId="166" xfId="0" applyAlignment="1" applyBorder="1" applyFont="1" applyNumberFormat="1">
      <alignment horizontal="center" readingOrder="0" shrinkToFit="0" vertical="bottom" wrapText="1"/>
    </xf>
    <xf borderId="11" fillId="0" fontId="13" numFmtId="165" xfId="0" applyAlignment="1" applyBorder="1" applyFont="1" applyNumberFormat="1">
      <alignment horizontal="center" readingOrder="0" shrinkToFit="0" vertical="bottom" wrapText="1"/>
    </xf>
    <xf borderId="11" fillId="0" fontId="13" numFmtId="0" xfId="0" applyAlignment="1" applyBorder="1" applyFont="1">
      <alignment shrinkToFit="0" wrapText="1"/>
    </xf>
    <xf borderId="11" fillId="0" fontId="1" numFmtId="169" xfId="0" applyAlignment="1" applyBorder="1" applyFont="1" applyNumberFormat="1">
      <alignment shrinkToFit="0" wrapText="1"/>
    </xf>
    <xf borderId="12" fillId="4" fontId="13" numFmtId="0" xfId="0" applyAlignment="1" applyBorder="1" applyFont="1">
      <alignment readingOrder="0" shrinkToFit="0" wrapText="1"/>
    </xf>
    <xf borderId="12" fillId="4" fontId="155" numFmtId="0" xfId="0" applyAlignment="1" applyBorder="1" applyFont="1">
      <alignment shrinkToFit="0" wrapText="1"/>
    </xf>
    <xf borderId="12" fillId="4" fontId="13" numFmtId="166" xfId="0" applyAlignment="1" applyBorder="1" applyFont="1" applyNumberFormat="1">
      <alignment horizontal="center" readingOrder="0" shrinkToFit="0" vertical="bottom" wrapText="1"/>
    </xf>
    <xf borderId="12" fillId="4" fontId="13" numFmtId="165" xfId="0" applyAlignment="1" applyBorder="1" applyFont="1" applyNumberFormat="1">
      <alignment horizontal="center" readingOrder="0" shrinkToFit="0" vertical="bottom" wrapText="1"/>
    </xf>
    <xf borderId="12" fillId="4" fontId="13" numFmtId="0" xfId="0" applyAlignment="1" applyBorder="1" applyFont="1">
      <alignment shrinkToFit="0" wrapText="1"/>
    </xf>
    <xf borderId="12" fillId="4" fontId="1" numFmtId="169" xfId="0" applyAlignment="1" applyBorder="1" applyFont="1" applyNumberFormat="1">
      <alignment shrinkToFit="0" wrapText="1"/>
    </xf>
    <xf borderId="0" fillId="0" fontId="13" numFmtId="49" xfId="0" applyAlignment="1" applyFont="1" applyNumberFormat="1">
      <alignment horizontal="center" readingOrder="0" shrinkToFit="0" vertical="bottom" wrapText="1"/>
    </xf>
    <xf borderId="0" fillId="0" fontId="13" numFmtId="0" xfId="0" applyAlignment="1" applyFont="1">
      <alignment shrinkToFit="0" wrapText="1"/>
    </xf>
    <xf borderId="0" fillId="4" fontId="13" numFmtId="49" xfId="0" applyAlignment="1" applyFont="1" applyNumberFormat="1">
      <alignment horizontal="center" readingOrder="0" shrinkToFit="0" vertical="bottom" wrapText="1"/>
    </xf>
    <xf borderId="0" fillId="4" fontId="156" numFmtId="0" xfId="0" applyAlignment="1" applyFont="1">
      <alignment shrinkToFit="0" wrapText="1"/>
    </xf>
    <xf borderId="0" fillId="4" fontId="157" numFmtId="0" xfId="0" applyAlignment="1" applyFont="1">
      <alignment readingOrder="0" shrinkToFit="0" wrapText="1"/>
    </xf>
    <xf borderId="0" fillId="4" fontId="41" numFmtId="166" xfId="0" applyAlignment="1" applyFont="1" applyNumberFormat="1">
      <alignment horizontal="right" readingOrder="0" shrinkToFit="0" vertical="bottom" wrapText="1"/>
    </xf>
    <xf borderId="0" fillId="4" fontId="41" numFmtId="169" xfId="0" applyAlignment="1" applyFont="1" applyNumberFormat="1">
      <alignment shrinkToFit="0" wrapText="1"/>
    </xf>
    <xf borderId="4" fillId="5" fontId="158" numFmtId="0" xfId="0" applyAlignment="1" applyBorder="1" applyFont="1">
      <alignment readingOrder="0" shrinkToFit="0" wrapText="1"/>
    </xf>
    <xf borderId="4" fillId="5" fontId="13" numFmtId="166" xfId="0" applyAlignment="1" applyBorder="1" applyFont="1" applyNumberFormat="1">
      <alignment horizontal="right" readingOrder="0" shrinkToFit="0" vertical="bottom" wrapText="1"/>
    </xf>
    <xf borderId="5" fillId="0" fontId="13" numFmtId="165" xfId="0" applyAlignment="1" applyBorder="1" applyFont="1" applyNumberFormat="1">
      <alignment horizontal="center" shrinkToFit="0" vertical="bottom" wrapText="1"/>
    </xf>
    <xf borderId="5" fillId="0" fontId="1" numFmtId="0" xfId="0" applyAlignment="1" applyBorder="1" applyFont="1">
      <alignment shrinkToFit="0" wrapText="1"/>
    </xf>
    <xf borderId="0" fillId="3" fontId="159" numFmtId="0" xfId="0" applyAlignment="1" applyFont="1">
      <alignment shrinkToFit="0" wrapText="1"/>
    </xf>
  </cellXfs>
  <cellStyles count="1">
    <cellStyle xfId="0" name="Normal" builtinId="0"/>
  </cellStyles>
  <dxfs count="5">
    <dxf>
      <font/>
      <fill>
        <patternFill patternType="solid">
          <fgColor rgb="FFF0599C"/>
          <bgColor rgb="FFF0599C"/>
        </patternFill>
      </fill>
      <border/>
    </dxf>
    <dxf>
      <font/>
      <fill>
        <patternFill patternType="solid">
          <fgColor rgb="FFDCAEEE"/>
          <bgColor rgb="FFDCAEEE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2" pivot="0" name="MLP Charity Data (Rough)-style">
      <tableStyleElement dxfId="3" type="firstRowStripe"/>
      <tableStyleElement dxfId="4" type="secondRowStripe"/>
    </tableStyle>
    <tableStyle count="2" pivot="0" name="MLP Charity Data (Rough)-style 2">
      <tableStyleElement dxfId="3" type="firstRowStripe"/>
      <tableStyleElement dxfId="4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02:D209" displayName="Table_1" id="1">
  <tableColumns count="4">
    <tableColumn name="Column1" id="1"/>
    <tableColumn name="Column2" id="2"/>
    <tableColumn name="Column3" id="3"/>
    <tableColumn name="Column4" id="4"/>
  </tableColumns>
  <tableStyleInfo name="MLP Charity Data (Rough)-style" showColumnStripes="0" showFirstColumn="1" showLastColumn="1" showRowStripes="1"/>
</table>
</file>

<file path=xl/tables/table2.xml><?xml version="1.0" encoding="utf-8"?>
<table xmlns="http://schemas.openxmlformats.org/spreadsheetml/2006/main" headerRowCount="0" ref="A68:D99" displayName="Table_2" id="2">
  <tableColumns count="4">
    <tableColumn name="Column1" id="1"/>
    <tableColumn name="Column2" id="2"/>
    <tableColumn name="Column3" id="3"/>
    <tableColumn name="Column4" id="4"/>
  </tableColumns>
  <tableStyleInfo name="MLP Charity Data (Rough)-style 2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://derpycon.com" TargetMode="External"/><Relationship Id="rId42" Type="http://schemas.openxmlformats.org/officeDocument/2006/relationships/hyperlink" Target="http://canterlotconvention.com" TargetMode="External"/><Relationship Id="rId41" Type="http://schemas.openxmlformats.org/officeDocument/2006/relationships/hyperlink" Target="http://cloudsdalecongress.com" TargetMode="External"/><Relationship Id="rId44" Type="http://schemas.openxmlformats.org/officeDocument/2006/relationships/hyperlink" Target="http://ponyconau.com" TargetMode="External"/><Relationship Id="rId43" Type="http://schemas.openxmlformats.org/officeDocument/2006/relationships/hyperlink" Target="http://hwcon.nl" TargetMode="External"/><Relationship Id="rId46" Type="http://schemas.openxmlformats.org/officeDocument/2006/relationships/hyperlink" Target="http://brony-fair.de" TargetMode="External"/><Relationship Id="rId45" Type="http://schemas.openxmlformats.org/officeDocument/2006/relationships/hyperlink" Target="http://babscon.com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://ponycon.jp" TargetMode="External"/><Relationship Id="rId3" Type="http://schemas.openxmlformats.org/officeDocument/2006/relationships/hyperlink" Target="http://ganime.ca" TargetMode="External"/><Relationship Id="rId4" Type="http://schemas.openxmlformats.org/officeDocument/2006/relationships/hyperlink" Target="http://ponyconau.com" TargetMode="External"/><Relationship Id="rId9" Type="http://schemas.openxmlformats.org/officeDocument/2006/relationships/hyperlink" Target="http://mwbfkc.net" TargetMode="External"/><Relationship Id="rId48" Type="http://schemas.openxmlformats.org/officeDocument/2006/relationships/hyperlink" Target="http://bronycon.org" TargetMode="External"/><Relationship Id="rId47" Type="http://schemas.openxmlformats.org/officeDocument/2006/relationships/hyperlink" Target="http://everfreenw.com" TargetMode="External"/><Relationship Id="rId49" Type="http://schemas.openxmlformats.org/officeDocument/2006/relationships/hyperlink" Target="http://southernskiespj.com" TargetMode="External"/><Relationship Id="rId5" Type="http://schemas.openxmlformats.org/officeDocument/2006/relationships/hyperlink" Target="http://brony-fest.com" TargetMode="External"/><Relationship Id="rId6" Type="http://schemas.openxmlformats.org/officeDocument/2006/relationships/hyperlink" Target="http://babscon.com" TargetMode="External"/><Relationship Id="rId7" Type="http://schemas.openxmlformats.org/officeDocument/2006/relationships/hyperlink" Target="http://rubronycon.ru" TargetMode="External"/><Relationship Id="rId8" Type="http://schemas.openxmlformats.org/officeDocument/2006/relationships/hyperlink" Target="http://ponycon.jp" TargetMode="External"/><Relationship Id="rId31" Type="http://schemas.openxmlformats.org/officeDocument/2006/relationships/hyperlink" Target="http://sydneigh.com.au" TargetMode="External"/><Relationship Id="rId30" Type="http://schemas.openxmlformats.org/officeDocument/2006/relationships/hyperlink" Target="http://derpycons.com" TargetMode="External"/><Relationship Id="rId33" Type="http://schemas.openxmlformats.org/officeDocument/2006/relationships/hyperlink" Target="http://ukponycon.co.uk" TargetMode="External"/><Relationship Id="rId32" Type="http://schemas.openxmlformats.org/officeDocument/2006/relationships/hyperlink" Target="http://bronyscot.org.uk" TargetMode="External"/><Relationship Id="rId35" Type="http://schemas.openxmlformats.org/officeDocument/2006/relationships/hyperlink" Target="http://nightmarenights.net" TargetMode="External"/><Relationship Id="rId34" Type="http://schemas.openxmlformats.org/officeDocument/2006/relationships/hyperlink" Target="http://crystalfairstl.com" TargetMode="External"/><Relationship Id="rId37" Type="http://schemas.openxmlformats.org/officeDocument/2006/relationships/hyperlink" Target="http://ponycon.jp" TargetMode="External"/><Relationship Id="rId36" Type="http://schemas.openxmlformats.org/officeDocument/2006/relationships/hyperlink" Target="http://rotlcon.com" TargetMode="External"/><Relationship Id="rId39" Type="http://schemas.openxmlformats.org/officeDocument/2006/relationships/hyperlink" Target="http://drawncon.com" TargetMode="External"/><Relationship Id="rId38" Type="http://schemas.openxmlformats.org/officeDocument/2006/relationships/hyperlink" Target="http://ponyvilleciderfest.com" TargetMode="External"/><Relationship Id="rId20" Type="http://schemas.openxmlformats.org/officeDocument/2006/relationships/hyperlink" Target="http://bronycon.org" TargetMode="External"/><Relationship Id="rId22" Type="http://schemas.openxmlformats.org/officeDocument/2006/relationships/hyperlink" Target="http://galacon.eu" TargetMode="External"/><Relationship Id="rId21" Type="http://schemas.openxmlformats.org/officeDocument/2006/relationships/hyperlink" Target="http://con.sibbrony.ru" TargetMode="External"/><Relationship Id="rId24" Type="http://schemas.openxmlformats.org/officeDocument/2006/relationships/hyperlink" Target="http://grandgallopingbronygalacon.com" TargetMode="External"/><Relationship Id="rId23" Type="http://schemas.openxmlformats.org/officeDocument/2006/relationships/hyperlink" Target="http://crystalmtponycon.com" TargetMode="External"/><Relationship Id="rId26" Type="http://schemas.openxmlformats.org/officeDocument/2006/relationships/hyperlink" Target="http://bronycan.ca" TargetMode="External"/><Relationship Id="rId25" Type="http://schemas.openxmlformats.org/officeDocument/2006/relationships/hyperlink" Target="http://atlantiquestria.org" TargetMode="External"/><Relationship Id="rId28" Type="http://schemas.openxmlformats.org/officeDocument/2006/relationships/hyperlink" Target="http://czequestria.cz" TargetMode="External"/><Relationship Id="rId27" Type="http://schemas.openxmlformats.org/officeDocument/2006/relationships/hyperlink" Target="http://buckcon.org" TargetMode="External"/><Relationship Id="rId29" Type="http://schemas.openxmlformats.org/officeDocument/2006/relationships/hyperlink" Target="http://bronyfanfair.com" TargetMode="External"/><Relationship Id="rId51" Type="http://schemas.openxmlformats.org/officeDocument/2006/relationships/hyperlink" Target="http://eu-m.ch" TargetMode="External"/><Relationship Id="rId50" Type="http://schemas.openxmlformats.org/officeDocument/2006/relationships/hyperlink" Target="http://bronydays.fr" TargetMode="External"/><Relationship Id="rId53" Type="http://schemas.openxmlformats.org/officeDocument/2006/relationships/hyperlink" Target="http://bigappleponycon.com" TargetMode="External"/><Relationship Id="rId52" Type="http://schemas.openxmlformats.org/officeDocument/2006/relationships/hyperlink" Target="http://nightmarenights.net" TargetMode="External"/><Relationship Id="rId11" Type="http://schemas.openxmlformats.org/officeDocument/2006/relationships/hyperlink" Target="http://mlp-msp.com" TargetMode="External"/><Relationship Id="rId55" Type="http://schemas.openxmlformats.org/officeDocument/2006/relationships/hyperlink" Target="http://bronycon.org" TargetMode="External"/><Relationship Id="rId10" Type="http://schemas.openxmlformats.org/officeDocument/2006/relationships/hyperlink" Target="http://bigappleponycon.com" TargetMode="External"/><Relationship Id="rId54" Type="http://schemas.openxmlformats.org/officeDocument/2006/relationships/hyperlink" Target="http://trotcon.net" TargetMode="External"/><Relationship Id="rId13" Type="http://schemas.openxmlformats.org/officeDocument/2006/relationships/hyperlink" Target="http://trotcon.com" TargetMode="External"/><Relationship Id="rId57" Type="http://schemas.openxmlformats.org/officeDocument/2006/relationships/hyperlink" Target="http://cloudsdalecon.weebly.com" TargetMode="External"/><Relationship Id="rId12" Type="http://schemas.openxmlformats.org/officeDocument/2006/relationships/hyperlink" Target="http://derpystyle.wix.com/fluttycon" TargetMode="External"/><Relationship Id="rId56" Type="http://schemas.openxmlformats.org/officeDocument/2006/relationships/hyperlink" Target="http://bronyexpo.com" TargetMode="External"/><Relationship Id="rId15" Type="http://schemas.openxmlformats.org/officeDocument/2006/relationships/hyperlink" Target="http://crystalfair.fi" TargetMode="External"/><Relationship Id="rId59" Type="http://schemas.openxmlformats.org/officeDocument/2006/relationships/vmlDrawing" Target="../drawings/vmlDrawing1.vml"/><Relationship Id="rId14" Type="http://schemas.openxmlformats.org/officeDocument/2006/relationships/hyperlink" Target="http://canterlotuniversity.com" TargetMode="External"/><Relationship Id="rId58" Type="http://schemas.openxmlformats.org/officeDocument/2006/relationships/drawing" Target="../drawings/drawing1.xml"/><Relationship Id="rId17" Type="http://schemas.openxmlformats.org/officeDocument/2006/relationships/hyperlink" Target="http://bronyexpo.com" TargetMode="External"/><Relationship Id="rId16" Type="http://schemas.openxmlformats.org/officeDocument/2006/relationships/hyperlink" Target="http://everfreenw.com" TargetMode="External"/><Relationship Id="rId19" Type="http://schemas.openxmlformats.org/officeDocument/2006/relationships/hyperlink" Target="http://mylittleponycon.com" TargetMode="External"/><Relationship Id="rId18" Type="http://schemas.openxmlformats.org/officeDocument/2006/relationships/hyperlink" Target="http://fiestaequestria.com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Relationship Id="rId6" Type="http://schemas.openxmlformats.org/officeDocument/2006/relationships/table" Target="../tables/table1.xml"/><Relationship Id="rId7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4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hyperlink" Target="http://phponycon.weebly.com/" TargetMode="External"/><Relationship Id="rId3" Type="http://schemas.openxmlformats.org/officeDocument/2006/relationships/hyperlink" Target="http://www.laspegasusunicon.com" TargetMode="External"/><Relationship Id="rId4" Type="http://schemas.openxmlformats.org/officeDocument/2006/relationships/hyperlink" Target="http://www.cloudsdalecongress.com/" TargetMode="External"/><Relationship Id="rId9" Type="http://schemas.openxmlformats.org/officeDocument/2006/relationships/hyperlink" Target="http://www.crystalmtponycon.com/" TargetMode="External"/><Relationship Id="rId5" Type="http://schemas.openxmlformats.org/officeDocument/2006/relationships/hyperlink" Target="http://dragontamers.com.ar/PoniCon/index.html" TargetMode="External"/><Relationship Id="rId6" Type="http://schemas.openxmlformats.org/officeDocument/2006/relationships/hyperlink" Target="http://www.bigappleponycon.com/" TargetMode="External"/><Relationship Id="rId7" Type="http://schemas.openxmlformats.org/officeDocument/2006/relationships/hyperlink" Target="http://www.brony-fest.com/" TargetMode="External"/><Relationship Id="rId8" Type="http://schemas.openxmlformats.org/officeDocument/2006/relationships/hyperlink" Target="http://rubronycon.ru/" TargetMode="External"/><Relationship Id="rId31" Type="http://schemas.openxmlformats.org/officeDocument/2006/relationships/hyperlink" Target="http://appleloosacon.com/" TargetMode="External"/><Relationship Id="rId30" Type="http://schemas.openxmlformats.org/officeDocument/2006/relationships/hyperlink" Target="http://derpycons.com/" TargetMode="External"/><Relationship Id="rId33" Type="http://schemas.openxmlformats.org/officeDocument/2006/relationships/hyperlink" Target="http://rotlcon.com/" TargetMode="External"/><Relationship Id="rId32" Type="http://schemas.openxmlformats.org/officeDocument/2006/relationships/hyperlink" Target="http://www.bronydays.fr" TargetMode="External"/><Relationship Id="rId35" Type="http://schemas.openxmlformats.org/officeDocument/2006/relationships/hyperlink" Target="http://www.nightmarenights.net/" TargetMode="External"/><Relationship Id="rId34" Type="http://schemas.openxmlformats.org/officeDocument/2006/relationships/hyperlink" Target="http://www.drawncon.com" TargetMode="External"/><Relationship Id="rId37" Type="http://schemas.openxmlformats.org/officeDocument/2006/relationships/drawing" Target="../drawings/drawing5.xml"/><Relationship Id="rId36" Type="http://schemas.openxmlformats.org/officeDocument/2006/relationships/hyperlink" Target="http://www.canterlotconvention.com/" TargetMode="External"/><Relationship Id="rId38" Type="http://schemas.openxmlformats.org/officeDocument/2006/relationships/vmlDrawing" Target="../drawings/vmlDrawing5.vml"/><Relationship Id="rId20" Type="http://schemas.openxmlformats.org/officeDocument/2006/relationships/hyperlink" Target="http://www.bronycon.org" TargetMode="External"/><Relationship Id="rId22" Type="http://schemas.openxmlformats.org/officeDocument/2006/relationships/hyperlink" Target="http://www.buckcon.org" TargetMode="External"/><Relationship Id="rId21" Type="http://schemas.openxmlformats.org/officeDocument/2006/relationships/hyperlink" Target="http://www.galacon.eu/" TargetMode="External"/><Relationship Id="rId24" Type="http://schemas.openxmlformats.org/officeDocument/2006/relationships/hyperlink" Target="http://www.ukponycon.co.uk" TargetMode="External"/><Relationship Id="rId23" Type="http://schemas.openxmlformats.org/officeDocument/2006/relationships/hyperlink" Target="http://www.bronycan.ca" TargetMode="External"/><Relationship Id="rId26" Type="http://schemas.openxmlformats.org/officeDocument/2006/relationships/hyperlink" Target="http://expo.sacbrony.com/" TargetMode="External"/><Relationship Id="rId25" Type="http://schemas.openxmlformats.org/officeDocument/2006/relationships/hyperlink" Target="http://www.bronyfanfair.com/" TargetMode="External"/><Relationship Id="rId28" Type="http://schemas.openxmlformats.org/officeDocument/2006/relationships/hyperlink" Target="http://www.spaniardhooves.com/foro/viewtopic.php?f=15&amp;t=2274" TargetMode="External"/><Relationship Id="rId27" Type="http://schemas.openxmlformats.org/officeDocument/2006/relationships/hyperlink" Target="http://ponycon.jp/" TargetMode="External"/><Relationship Id="rId29" Type="http://schemas.openxmlformats.org/officeDocument/2006/relationships/hyperlink" Target="http://crystalfairstl.com/" TargetMode="External"/><Relationship Id="rId11" Type="http://schemas.openxmlformats.org/officeDocument/2006/relationships/hyperlink" Target="http://www.equestriala.com/" TargetMode="External"/><Relationship Id="rId10" Type="http://schemas.openxmlformats.org/officeDocument/2006/relationships/hyperlink" Target="http://www.ponyconau.com/" TargetMode="External"/><Relationship Id="rId13" Type="http://schemas.openxmlformats.org/officeDocument/2006/relationships/hyperlink" Target="http://www.cutiemarkcon.com/" TargetMode="External"/><Relationship Id="rId12" Type="http://schemas.openxmlformats.org/officeDocument/2006/relationships/hyperlink" Target="http://www.pon3con.com/" TargetMode="External"/><Relationship Id="rId15" Type="http://schemas.openxmlformats.org/officeDocument/2006/relationships/hyperlink" Target="http://www.fiestaequestria.com/" TargetMode="External"/><Relationship Id="rId14" Type="http://schemas.openxmlformats.org/officeDocument/2006/relationships/hyperlink" Target="http://www.trotcon.com/" TargetMode="External"/><Relationship Id="rId17" Type="http://schemas.openxmlformats.org/officeDocument/2006/relationships/hyperlink" Target="http://www.everfreenw.com/" TargetMode="External"/><Relationship Id="rId16" Type="http://schemas.openxmlformats.org/officeDocument/2006/relationships/hyperlink" Target="http://www.grandgallopingbronygalacon.com/" TargetMode="External"/><Relationship Id="rId19" Type="http://schemas.openxmlformats.org/officeDocument/2006/relationships/hyperlink" Target="http://www.mwbfkc.net" TargetMode="External"/><Relationship Id="rId18" Type="http://schemas.openxmlformats.org/officeDocument/2006/relationships/hyperlink" Target="http://www.mylittleponycon.com/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6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7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8.v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drawing" Target="../drawings/drawing10.xml"/><Relationship Id="rId3" Type="http://schemas.openxmlformats.org/officeDocument/2006/relationships/vmlDrawing" Target="../drawings/vmlDrawing9.v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drawing" Target="../drawings/drawing11.xml"/><Relationship Id="rId3" Type="http://schemas.openxmlformats.org/officeDocument/2006/relationships/vmlDrawing" Target="../drawings/vmlDrawing10.v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hyperlink" Target="http://www.indiegogo.com/projects/canterlot-gardens-2014" TargetMode="External"/><Relationship Id="rId3" Type="http://schemas.openxmlformats.org/officeDocument/2006/relationships/hyperlink" Target="http://www.sweetapplecon.com/" TargetMode="External"/><Relationship Id="rId4" Type="http://schemas.openxmlformats.org/officeDocument/2006/relationships/hyperlink" Target="http://www.crystalcon.eu/" TargetMode="External"/><Relationship Id="rId9" Type="http://schemas.openxmlformats.org/officeDocument/2006/relationships/hyperlink" Target="http://hfeq.org" TargetMode="External"/><Relationship Id="rId5" Type="http://schemas.openxmlformats.org/officeDocument/2006/relationships/hyperlink" Target="http://www.wintermoonatlanta.com/" TargetMode="External"/><Relationship Id="rId6" Type="http://schemas.openxmlformats.org/officeDocument/2006/relationships/hyperlink" Target="http://www.nightmarenightatlanta.com/" TargetMode="External"/><Relationship Id="rId7" Type="http://schemas.openxmlformats.org/officeDocument/2006/relationships/hyperlink" Target="http://calgarybronyexhibition.blogspot.ca" TargetMode="External"/><Relationship Id="rId8" Type="http://schemas.openxmlformats.org/officeDocument/2006/relationships/hyperlink" Target="http://eu-m.ch" TargetMode="External"/><Relationship Id="rId11" Type="http://schemas.openxmlformats.org/officeDocument/2006/relationships/vmlDrawing" Target="../drawings/vmlDrawing11.vml"/><Relationship Id="rId10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hyperlink" Target="http://www.shuttershy.org/events/" TargetMode="External"/><Relationship Id="rId3" Type="http://schemas.openxmlformats.org/officeDocument/2006/relationships/hyperlink" Target="http://equestriacon.com/cons/" TargetMode="External"/><Relationship Id="rId4" Type="http://schemas.openxmlformats.org/officeDocument/2006/relationships/hyperlink" Target="http://thedailyoat.com/2013/02/01/the-daily-oat-convention-guide-2013/" TargetMode="External"/><Relationship Id="rId5" Type="http://schemas.openxmlformats.org/officeDocument/2006/relationships/hyperlink" Target="http://www.equestriadaily.com/2013/01/convention-listings-for-year_18.html" TargetMode="External"/><Relationship Id="rId6" Type="http://schemas.openxmlformats.org/officeDocument/2006/relationships/drawing" Target="../drawings/drawing13.xml"/><Relationship Id="rId7" Type="http://schemas.openxmlformats.org/officeDocument/2006/relationships/vmlDrawing" Target="../drawings/vmlDrawing1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33.43"/>
    <col customWidth="1" min="2" max="2" width="27.29"/>
    <col customWidth="1" min="3" max="3" width="38.29"/>
    <col customWidth="1" min="4" max="4" width="11.14"/>
    <col customWidth="1" min="5" max="5" width="10.57"/>
    <col customWidth="1" min="6" max="6" width="9.71"/>
    <col customWidth="1" min="7" max="7" width="27.43"/>
    <col customWidth="1" min="8" max="8" width="42.29"/>
    <col customWidth="1" min="9" max="9" width="16.29"/>
    <col customWidth="1" min="10" max="10" width="19.0"/>
    <col customWidth="1" min="11" max="11" width="24.0"/>
    <col customWidth="1" min="12" max="12" width="21.86"/>
  </cols>
  <sheetData>
    <row r="1">
      <c r="A1" s="1"/>
      <c r="B1" s="1"/>
      <c r="C1" s="1"/>
      <c r="D1" s="1"/>
      <c r="E1" s="1"/>
      <c r="F1" s="1"/>
      <c r="G1" s="1"/>
      <c r="H1" s="2" t="s">
        <v>0</v>
      </c>
      <c r="I1" s="3" t="s">
        <v>1</v>
      </c>
      <c r="J1" s="1"/>
      <c r="K1" s="1"/>
      <c r="L1" s="1"/>
    </row>
    <row r="2">
      <c r="A2" s="4" t="s">
        <v>2</v>
      </c>
      <c r="B2" s="5" t="s">
        <v>3</v>
      </c>
      <c r="C2" s="6" t="str">
        <f>hyperlink("https://maps.google.com/maps/ms?msa=0&amp;msid=217710211608313095894.0004ce3c73b54c1d23deb","Location")</f>
        <v>Location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9" t="s">
        <v>9</v>
      </c>
      <c r="J2" s="10" t="str">
        <f>hyperlink("https://twitter.com/ponycons/lists/mlp-conventions","Twitter")</f>
        <v>Twitter</v>
      </c>
      <c r="K2" s="11" t="s">
        <v>10</v>
      </c>
      <c r="L2" s="11" t="s">
        <v>11</v>
      </c>
    </row>
    <row r="3">
      <c r="A3" s="12" t="str">
        <f>hyperlink("http://ponycon.jp/","JapanPonycon 2014 New Year")</f>
        <v>JapanPonycon 2014 New Year</v>
      </c>
      <c r="B3" s="13" t="s">
        <v>12</v>
      </c>
      <c r="C3" s="12" t="str">
        <f>hyperlink("https://maps.google.co.jp/maps?q=35.535306,139.700946","Kawasaki, Japan")</f>
        <v>Kawasaki, Japan</v>
      </c>
      <c r="D3" s="14">
        <v>41644.0</v>
      </c>
      <c r="E3" s="15" t="s">
        <v>13</v>
      </c>
      <c r="F3" s="16">
        <v>162.0</v>
      </c>
      <c r="G3" s="17"/>
      <c r="H3" s="17"/>
      <c r="I3" s="18"/>
      <c r="J3" s="12" t="str">
        <f>hyperlink("http://www.twitter.com/JapanPonyCon","@JapanPonyCon")</f>
        <v>@JapanPonyCon</v>
      </c>
      <c r="K3" s="17"/>
      <c r="L3" s="12" t="str">
        <f>hyperlink("http://poniko-jpc.tumblr.com/","poniko-jpc")</f>
        <v>poniko-jpc</v>
      </c>
    </row>
    <row r="4">
      <c r="A4" s="19" t="str">
        <f>hyperlink("http://ganime.ca/","TROTtawa")</f>
        <v>TROTtawa</v>
      </c>
      <c r="B4" s="20" t="s">
        <v>14</v>
      </c>
      <c r="C4" s="19" t="str">
        <f>hyperlink("https://plus.google.com/100709641721316204201","Ottawa, Ontario, Canada")</f>
        <v>Ottawa, Ontario, Canada</v>
      </c>
      <c r="D4" s="21">
        <v>41665.0</v>
      </c>
      <c r="E4" s="22" t="s">
        <v>13</v>
      </c>
      <c r="F4" s="23">
        <v>180.0</v>
      </c>
      <c r="G4" s="19" t="str">
        <f>hyperlink("http://files.ganime.ca/sites/5/2013/08/Convention-Policies-and-Rules-2.pdf","[Policies &amp; Rules (PDF)]")</f>
        <v>[Policies &amp; Rules (PDF)]</v>
      </c>
      <c r="H4" s="24"/>
      <c r="I4" s="25"/>
      <c r="J4" s="19" t="str">
        <f>hyperlink("http://www.twitter.com/TROTtawa","@TROTtawa")</f>
        <v>@TROTtawa</v>
      </c>
      <c r="K4" s="24"/>
      <c r="L4" s="24"/>
    </row>
    <row r="5">
      <c r="A5" s="26" t="str">
        <f>hyperlink("http://www.ponyconau.com/","Ponycon AU 2014")</f>
        <v>Ponycon AU 2014</v>
      </c>
      <c r="B5" s="27" t="s">
        <v>15</v>
      </c>
      <c r="C5" s="28" t="str">
        <f>hyperlink("https://plus.google.com/102158918361416757959","Melbourne, Australia")</f>
        <v>Melbourne, Australia</v>
      </c>
      <c r="D5" s="29" t="s">
        <v>16</v>
      </c>
      <c r="E5" s="30">
        <v>41672.0</v>
      </c>
      <c r="F5" s="31"/>
      <c r="G5" s="31"/>
      <c r="H5" s="26" t="str">
        <f>hyperlink("http://www.beyondblue.org.au","Beyond Blue")</f>
        <v>Beyond Blue</v>
      </c>
      <c r="I5" s="32">
        <f>IFERROR(__xludf.DUMMYFUNCTION("IF($I$1=""AUD"",2353,2353*GoogleFinance(""CURRENCY:AUD""&amp;I$1))"),1821.52789)</f>
        <v>1821.52789</v>
      </c>
      <c r="J5" s="26" t="str">
        <f>hyperlink("http://www.twitter.com/PonyconAU","@PonyconAU")</f>
        <v>@PonyconAU</v>
      </c>
      <c r="K5" s="26" t="str">
        <f>hyperlink("https://www.facebook.com/ponyconau","ponyconau")</f>
        <v>ponyconau</v>
      </c>
      <c r="L5" s="26" t="str">
        <f>hyperlink("http://ponyconau.tumblr.com/","ponyconau")</f>
        <v>ponyconau</v>
      </c>
    </row>
    <row r="6">
      <c r="A6" s="33" t="str">
        <f>hyperlink("http://www.brony-fest.com/","Animation Celebration")</f>
        <v>Animation Celebration</v>
      </c>
      <c r="B6" s="34" t="s">
        <v>17</v>
      </c>
      <c r="C6" s="35" t="str">
        <f>hyperlink("https://plus.google.com/111914691801097085332","Lewisville, TX, USA")</f>
        <v>Lewisville, TX, USA</v>
      </c>
      <c r="D6" s="36">
        <v>41726.0</v>
      </c>
      <c r="E6" s="36">
        <v>41728.0</v>
      </c>
      <c r="F6" s="37"/>
      <c r="G6" s="37"/>
      <c r="H6" s="38" t="s">
        <v>18</v>
      </c>
      <c r="I6" s="39"/>
      <c r="J6" s="40" t="str">
        <f>hyperlink("http://www.twitter.com/bronyfest1","@bronyfest1")</f>
        <v>@bronyfest1</v>
      </c>
      <c r="K6" s="40" t="str">
        <f>hyperlink("https://www.facebook.com/BronyFest","BronyFest")</f>
        <v>BronyFest</v>
      </c>
      <c r="L6" s="37"/>
    </row>
    <row r="7">
      <c r="A7" s="26" t="str">
        <f>hyperlink("http://www.babscon.com/","Bay Area Brony Spectacular (BABSCon)")</f>
        <v>Bay Area Brony Spectacular (BABSCon)</v>
      </c>
      <c r="B7" s="27" t="s">
        <v>19</v>
      </c>
      <c r="C7" s="28" t="str">
        <f>hyperlink("https://plus.google.com/112418898496525660360","San Francisco, CA, USA")</f>
        <v>San Francisco, CA, USA</v>
      </c>
      <c r="D7" s="30">
        <v>41747.0</v>
      </c>
      <c r="E7" s="30">
        <v>41749.0</v>
      </c>
      <c r="F7" s="41">
        <v>2350.0</v>
      </c>
      <c r="G7" s="26" t="str">
        <f>hyperlink("http://www.babscon.com/2014/rules-policies/","[Rules &amp; Policies]")</f>
        <v>[Rules &amp; Policies]</v>
      </c>
      <c r="H7" s="42" t="s">
        <v>20</v>
      </c>
      <c r="I7" s="32" t="str">
        <f>IFERROR(__xludf.DUMMYFUNCTION("20212*GoogleFinance(""CURRENCY:USD""&amp;$I$1)"),"#N/A")</f>
        <v>#N/A</v>
      </c>
      <c r="J7" s="26" t="str">
        <f>hyperlink("http://www.twitter.com/babsconsf","@babsconsf")</f>
        <v>@babsconsf</v>
      </c>
      <c r="K7" s="26" t="str">
        <f>hyperlink("https://www.facebook.com/babsconsf","babsconsf")</f>
        <v>babsconsf</v>
      </c>
      <c r="L7" s="26" t="str">
        <f>hyperlink("http://babsconsf.tumblr.com","babsconsf")</f>
        <v>babsconsf</v>
      </c>
    </row>
    <row r="8">
      <c r="A8" s="43" t="str">
        <f>hyperlink("http://rubronycon.ru/","RuBroniKon 2014")</f>
        <v>RuBroniKon 2014</v>
      </c>
      <c r="B8" s="44" t="s">
        <v>21</v>
      </c>
      <c r="C8" s="45" t="s">
        <v>22</v>
      </c>
      <c r="D8" s="46">
        <v>41761.0</v>
      </c>
      <c r="E8" s="46">
        <v>41762.0</v>
      </c>
      <c r="F8" s="47"/>
      <c r="G8" s="43" t="str">
        <f>hyperlink("http://rubronycon.ru/faq/","[FAQ]")</f>
        <v>[FAQ]</v>
      </c>
      <c r="H8" s="47"/>
      <c r="I8" s="48"/>
      <c r="J8" s="47"/>
      <c r="K8" s="43" t="str">
        <f>hyperlink("http://vk.com/rubronycon","rubronycon")</f>
        <v>rubronycon</v>
      </c>
      <c r="L8" s="47"/>
    </row>
    <row r="9">
      <c r="A9" s="12" t="str">
        <f>hyperlink("http://ponycon.jp/","Japan Ponycon 2014 Spring")</f>
        <v>Japan Ponycon 2014 Spring</v>
      </c>
      <c r="B9" s="49" t="s">
        <v>12</v>
      </c>
      <c r="C9" s="50" t="s">
        <v>23</v>
      </c>
      <c r="D9" s="14">
        <v>41763.0</v>
      </c>
      <c r="E9" s="15" t="s">
        <v>13</v>
      </c>
      <c r="F9" s="16">
        <v>242.0</v>
      </c>
      <c r="G9" s="51"/>
      <c r="H9" s="16" t="s">
        <v>24</v>
      </c>
      <c r="I9" s="52">
        <f>IFERROR(__xludf.DUMMYFUNCTION("IF($I$1=""JPY"",49000,49000*GoogleFinance(""CURRENCY:JPY""&amp;$I$1))"),447.46814700000004)</f>
        <v>447.468147</v>
      </c>
      <c r="J9" s="12" t="str">
        <f>hyperlink("http://www.twitter.com/JapanPonyCon","@JapanPonyCon")</f>
        <v>@JapanPonyCon</v>
      </c>
      <c r="K9" s="17"/>
      <c r="L9" s="12" t="str">
        <f>hyperlink("http://poniko-jpc.tumblr.com/","poniko-jpc")</f>
        <v>poniko-jpc</v>
      </c>
    </row>
    <row r="10">
      <c r="A10" s="19" t="str">
        <f>hyperlink("http://www.mwbfkc.net","Midwest Brony Fest 2014")</f>
        <v>Midwest Brony Fest 2014</v>
      </c>
      <c r="B10" s="20" t="s">
        <v>25</v>
      </c>
      <c r="C10" s="53" t="str">
        <f>hyperlink("https://plus.google.com/114944000003054590121","Kansas City, MO, USA")</f>
        <v>Kansas City, MO, USA</v>
      </c>
      <c r="D10" s="21">
        <v>41782.0</v>
      </c>
      <c r="E10" s="21">
        <v>41784.0</v>
      </c>
      <c r="F10" s="54">
        <v>450.0</v>
      </c>
      <c r="G10" s="55"/>
      <c r="H10" s="23" t="s">
        <v>26</v>
      </c>
      <c r="I10" s="25" t="str">
        <f>IFERROR(__xludf.DUMMYFUNCTION("3153.5*GoogleFinance(""CURRENCY:USD""&amp;$I$1)"),"#N/A")</f>
        <v>#N/A</v>
      </c>
      <c r="J10" s="19" t="str">
        <f>hyperlink("http://www.twitter.com/mwbfkc","@mwbfkc")</f>
        <v>@mwbfkc</v>
      </c>
      <c r="K10" s="19" t="str">
        <f>hyperlink("https://www.facebook.com/MidwestBronyFest","MidwestBronyFest")</f>
        <v>MidwestBronyFest</v>
      </c>
      <c r="L10" s="24"/>
    </row>
    <row r="11">
      <c r="A11" s="56" t="str">
        <f>hyperlink("http://www.bigappleponycon.com","Big Apple Ponycon 2014")</f>
        <v>Big Apple Ponycon 2014</v>
      </c>
      <c r="B11" s="57" t="s">
        <v>27</v>
      </c>
      <c r="C11" s="58" t="str">
        <f>hyperlink("https://plus.google.com/102570800279291846298","Jersey City, NJ, USA")</f>
        <v>Jersey City, NJ, USA</v>
      </c>
      <c r="D11" s="59" t="s">
        <v>28</v>
      </c>
      <c r="E11" s="60">
        <v>41797.0</v>
      </c>
      <c r="F11" s="61">
        <v>569.0</v>
      </c>
      <c r="G11" s="62"/>
      <c r="H11" s="63" t="s">
        <v>29</v>
      </c>
      <c r="I11" s="64" t="str">
        <f>IFERROR(__xludf.DUMMYFUNCTION("0*GoogleFinance(""CURRENCY:USD""&amp;$I$1)"),"#N/A")</f>
        <v>#N/A</v>
      </c>
      <c r="J11" s="56" t="str">
        <f>hyperlink("http://www.twitter.com/BigApplePonycon","@BigApplePonycon")</f>
        <v>@BigApplePonycon</v>
      </c>
      <c r="K11" s="56" t="str">
        <f>hyperlink("http://www.facebook.com/BigApplePonycon","BigApplePonycon")</f>
        <v>BigApplePonycon</v>
      </c>
      <c r="L11" s="62"/>
    </row>
    <row r="12">
      <c r="A12" s="65" t="str">
        <f>hyperlink("http://mlp-msp.com/","MLP-MSP")</f>
        <v>MLP-MSP</v>
      </c>
      <c r="B12" s="66" t="s">
        <v>30</v>
      </c>
      <c r="C12" s="67" t="str">
        <f>hyperlink("https://plus.google.com/110982462402830005556","Minneapolis, MN, USA")</f>
        <v>Minneapolis, MN, USA</v>
      </c>
      <c r="D12" s="68" t="s">
        <v>28</v>
      </c>
      <c r="E12" s="69">
        <v>41798.0</v>
      </c>
      <c r="F12" s="70">
        <v>1000.0</v>
      </c>
      <c r="G12" s="71"/>
      <c r="H12" s="72" t="s">
        <v>31</v>
      </c>
      <c r="I12" s="73"/>
      <c r="J12" s="65" t="str">
        <f>hyperlink("https://www.twitter.com/mlpminnesota","@mlpminnesota")</f>
        <v>@mlpminnesota</v>
      </c>
      <c r="K12" s="65" t="str">
        <f>hyperlink("https://www.facebook.com/pages/MLP-MinneapolisStPaul/203957756440856","[page]")</f>
        <v>[page]</v>
      </c>
      <c r="L12" s="71"/>
    </row>
    <row r="13">
      <c r="A13" s="12" t="str">
        <f>hyperlink("http://derpystyle.wix.com/fluttycon","Flutty Con")</f>
        <v>Flutty Con</v>
      </c>
      <c r="B13" s="49" t="s">
        <v>32</v>
      </c>
      <c r="C13" s="50" t="s">
        <v>33</v>
      </c>
      <c r="D13" s="14">
        <v>41804.0</v>
      </c>
      <c r="E13" s="15" t="s">
        <v>13</v>
      </c>
      <c r="F13" s="17"/>
      <c r="G13" s="17"/>
      <c r="H13" s="16" t="s">
        <v>34</v>
      </c>
      <c r="I13" s="18"/>
      <c r="J13" s="12" t="str">
        <f>hyperlink("https://www.twitter.com/fluttycon","@fluttycon")</f>
        <v>@fluttycon</v>
      </c>
      <c r="K13" s="12" t="str">
        <f>hyperlink("https://www.facebook.com/pages/Flutty-Con/199820316869878","[page]")</f>
        <v>[page]</v>
      </c>
      <c r="L13" s="17"/>
    </row>
    <row r="14">
      <c r="A14" s="65" t="str">
        <f>hyperlink("http://www.trotcon.com","TrotCon 2014")</f>
        <v>TrotCon 2014</v>
      </c>
      <c r="B14" s="66" t="s">
        <v>35</v>
      </c>
      <c r="C14" s="67" t="str">
        <f>hyperlink("https://plus.google.com/115263650301234732895","Columbus, OH, USA")</f>
        <v>Columbus, OH, USA</v>
      </c>
      <c r="D14" s="69">
        <v>41810.0</v>
      </c>
      <c r="E14" s="69">
        <v>41812.0</v>
      </c>
      <c r="F14" s="70">
        <v>1000.0</v>
      </c>
      <c r="G14" s="65" t="str">
        <f>hyperlink("http://trotcon.net/info-desk/policies/","[Rules &amp; Policies]")</f>
        <v>[Rules &amp; Policies]</v>
      </c>
      <c r="H14" s="72" t="s">
        <v>36</v>
      </c>
      <c r="I14" s="73" t="str">
        <f>IFERROR(__xludf.DUMMYFUNCTION("4400*GoogleFinance(""CURRENCY:USD""&amp;$I$1)"),"#N/A")</f>
        <v>#N/A</v>
      </c>
      <c r="J14" s="65" t="str">
        <f>hyperlink("http://www.twitter.com/TrotCon","@TrotCon")</f>
        <v>@TrotCon</v>
      </c>
      <c r="K14" s="65" t="str">
        <f>hyperlink("https://www.facebook.com/trotcon.ohio","trotcon.ohio")</f>
        <v>trotcon.ohio</v>
      </c>
      <c r="L14" s="65" t="str">
        <f>hyperlink("http://trotcon.tumblr.com/","trotcon")</f>
        <v>trotcon</v>
      </c>
    </row>
    <row r="15">
      <c r="A15" s="74" t="str">
        <f>hyperlink("http://www.canterlotuniversity.com","Canterlot University")</f>
        <v>Canterlot University</v>
      </c>
      <c r="B15" s="75" t="s">
        <v>37</v>
      </c>
      <c r="C15" s="76" t="str">
        <f>hyperlink("https://www.google.co.uk/maps/preview?q=28+Aliwal+Street,+Singapore+199918","Singapore")</f>
        <v>Singapore</v>
      </c>
      <c r="D15" s="77">
        <v>41812.0</v>
      </c>
      <c r="E15" s="78" t="s">
        <v>13</v>
      </c>
      <c r="F15" s="79">
        <v>154.0</v>
      </c>
      <c r="G15" s="51"/>
      <c r="H15" s="80" t="s">
        <v>29</v>
      </c>
      <c r="I15" s="81">
        <f>IFERROR(__xludf.DUMMYFUNCTION("IF($I$1=""SGD"",0,0*GoogleFinance(""CURRENCY:SGD""&amp;$I$1))"),0.0)</f>
        <v>0</v>
      </c>
      <c r="J15" s="74" t="str">
        <f>hyperlink("http://www.twitter.com/Canterlot_Uni","@Canterlot_Uni")</f>
        <v>@Canterlot_Uni</v>
      </c>
      <c r="K15" s="74" t="str">
        <f>hyperlink("http://facebook.com/canterlotuniversity","canterlotuniversity")</f>
        <v>canterlotuniversity</v>
      </c>
      <c r="L15" s="51"/>
    </row>
    <row r="16">
      <c r="A16" s="43" t="str">
        <f>hyperlink("http://www.crystalfair.fi/","Crystal Fair")</f>
        <v>Crystal Fair</v>
      </c>
      <c r="B16" s="44" t="s">
        <v>38</v>
      </c>
      <c r="C16" s="82" t="str">
        <f>hyperlink("https://plus.google.com/112783965703364872699","Helsinki, Finland")</f>
        <v>Helsinki, Finland</v>
      </c>
      <c r="D16" s="46">
        <v>41824.0</v>
      </c>
      <c r="E16" s="46">
        <v>41826.0</v>
      </c>
      <c r="F16" s="47"/>
      <c r="G16" s="43" t="str">
        <f>hyperlink("http://www.crystalfair.fi/info/rules-and-regulations","[Rules &amp; Regulations]")</f>
        <v>[Rules &amp; Regulations]</v>
      </c>
      <c r="H16" s="47"/>
      <c r="I16" s="48">
        <f>IFERROR(__xludf.DUMMYFUNCTION("IF($I$1=""EUR"",2480,2480*GoogleFinance(""CURRENCY:EUR""&amp;$I$1))"),3017.30192)</f>
        <v>3017.30192</v>
      </c>
      <c r="J16" s="43" t="str">
        <f>hyperlink("http://www.twitter.com/CrystalFairCon","@CrystalFairCon")</f>
        <v>@CrystalFairCon</v>
      </c>
      <c r="K16" s="43" t="str">
        <f>hyperlink("http://www.facebook.com/CrystalFairCon","CrystalFairCon")</f>
        <v>CrystalFairCon</v>
      </c>
      <c r="L16" s="47"/>
    </row>
    <row r="17">
      <c r="A17" s="12" t="str">
        <f>hyperlink("http://www.everfreenw.com","Everfree Northwest 2014")</f>
        <v>Everfree Northwest 2014</v>
      </c>
      <c r="B17" s="49" t="s">
        <v>39</v>
      </c>
      <c r="C17" s="83" t="str">
        <f>hyperlink("https://plus.google.com/104123350610547285409","Seattle, WA, USA")</f>
        <v>Seattle, WA, USA</v>
      </c>
      <c r="D17" s="14">
        <v>41824.0</v>
      </c>
      <c r="E17" s="14">
        <v>41826.0</v>
      </c>
      <c r="F17" s="17"/>
      <c r="G17" s="12" t="str">
        <f>hyperlink("https://everfreenw.com/policies","[Policies]")</f>
        <v>[Policies]</v>
      </c>
      <c r="H17" s="16" t="s">
        <v>40</v>
      </c>
      <c r="I17" s="52" t="str">
        <f>IFERROR(__xludf.DUMMYFUNCTION("40911.18*GoogleFinance(""CURRENCY:USD""&amp;$I$1)"),"#N/A")</f>
        <v>#N/A</v>
      </c>
      <c r="J17" s="12" t="str">
        <f>hyperlink("http://www.twitter.com/EverfreeNW","@EverfreeNW")</f>
        <v>@EverfreeNW</v>
      </c>
      <c r="K17" s="12" t="str">
        <f>hyperlink("https://www.facebook.com/EverfreeNW","EverfreeNW")</f>
        <v>EverfreeNW</v>
      </c>
      <c r="L17" s="12" t="str">
        <f>hyperlink("http://everfreenw.tumblr.com/","EverfreeNW")</f>
        <v>EverfreeNW</v>
      </c>
    </row>
    <row r="18">
      <c r="A18" s="65" t="str">
        <f>hyperlink("http://bronyexpo.com/","Brony Expo 2014")</f>
        <v>Brony Expo 2014</v>
      </c>
      <c r="B18" s="66" t="s">
        <v>41</v>
      </c>
      <c r="C18" s="67" t="str">
        <f>hyperlink("https://plus.google.com/114273459069178838433","Edmonton, A.B., Canada")</f>
        <v>Edmonton, A.B., Canada</v>
      </c>
      <c r="D18" s="69">
        <v>41825.0</v>
      </c>
      <c r="E18" s="69">
        <v>41826.0</v>
      </c>
      <c r="F18" s="71"/>
      <c r="G18" s="71"/>
      <c r="H18" s="72" t="s">
        <v>42</v>
      </c>
      <c r="I18" s="73"/>
      <c r="J18" s="65" t="str">
        <f>hyperlink("http://www.twitter.com/BronyExpo","@BronyExpo")</f>
        <v>@BronyExpo</v>
      </c>
      <c r="K18" s="71"/>
      <c r="L18" s="71"/>
    </row>
    <row r="19">
      <c r="A19" s="12" t="str">
        <f>hyperlink("http://www.fiestaequestria.com/","Fiesta Equestria 2014")</f>
        <v>Fiesta Equestria 2014</v>
      </c>
      <c r="B19" s="49" t="s">
        <v>43</v>
      </c>
      <c r="C19" s="83" t="str">
        <f>hyperlink("https://plus.google.com/111955078287629154429","Houston, TX, USA")</f>
        <v>Houston, TX, USA</v>
      </c>
      <c r="D19" s="14">
        <v>41831.0</v>
      </c>
      <c r="E19" s="14">
        <v>41833.0</v>
      </c>
      <c r="F19" s="16">
        <v>900.0</v>
      </c>
      <c r="G19" s="17"/>
      <c r="H19" s="17"/>
      <c r="I19" s="52" t="str">
        <f>IFERROR(__xludf.DUMMYFUNCTION("1700*GoogleFinance(""CURRENCY:USD""&amp;$I$1)"),"#N/A")</f>
        <v>#N/A</v>
      </c>
      <c r="J19" s="12" t="str">
        <f>hyperlink("http://www.twitter.com/FiestaEquestria","@FiestaEquestria")</f>
        <v>@FiestaEquestria</v>
      </c>
      <c r="K19" s="12" t="str">
        <f>hyperlink("https://www.facebook.com/pages/Fiesta-Equestria-2013/465591543463252","[link]")</f>
        <v>[link]</v>
      </c>
      <c r="L19" s="12" t="str">
        <f>hyperlink("http://fiestaequestria.tumblr.com/","fiestaequestria")</f>
        <v>fiestaequestria</v>
      </c>
    </row>
    <row r="20">
      <c r="A20" s="65" t="str">
        <f>hyperlink("http://mylittleponycon.com/","My Little Pony Fair 2014")</f>
        <v>My Little Pony Fair 2014</v>
      </c>
      <c r="B20" s="66" t="s">
        <v>44</v>
      </c>
      <c r="C20" s="84" t="s">
        <v>45</v>
      </c>
      <c r="D20" s="69">
        <v>41832.0</v>
      </c>
      <c r="E20" s="69">
        <v>41833.0</v>
      </c>
      <c r="F20" s="70">
        <v>1200.0</v>
      </c>
      <c r="G20" s="71"/>
      <c r="H20" s="85" t="s">
        <v>29</v>
      </c>
      <c r="I20" s="86" t="str">
        <f>IFERROR(__xludf.DUMMYFUNCTION("0*GoogleFinance(""CURRENCY:USD""&amp;$I$1)"),"#N/A")</f>
        <v>#N/A</v>
      </c>
      <c r="J20" s="65" t="str">
        <f>hyperlink("http://www.twitter.com/MyLittlePonyCon","@MyLittlePonyCon")</f>
        <v>@MyLittlePonyCon</v>
      </c>
      <c r="K20" s="65" t="str">
        <f>hyperlink("https://www.facebook.com/pages/My-Little-Pony-Fair-and-Convention/230605296972598","MLP Fair and Convention")</f>
        <v>MLP Fair and Convention</v>
      </c>
      <c r="L20" s="71"/>
    </row>
    <row r="21">
      <c r="A21" s="12" t="str">
        <f>hyperlink("http://www.bronycon.org","BronyCon 2014")</f>
        <v>BronyCon 2014</v>
      </c>
      <c r="B21" s="49" t="s">
        <v>46</v>
      </c>
      <c r="C21" s="83" t="str">
        <f>hyperlink("https://plus.google.com/115939139391701977092","Baltimore, MD, USA")</f>
        <v>Baltimore, MD, USA</v>
      </c>
      <c r="D21" s="14">
        <v>41852.0</v>
      </c>
      <c r="E21" s="14">
        <v>41854.0</v>
      </c>
      <c r="F21" s="16">
        <v>9607.0</v>
      </c>
      <c r="G21" s="12" t="str">
        <f>hyperlink("http://bronycon.org/about/policies/general-rules/","[General Rules]")</f>
        <v>[General Rules]</v>
      </c>
      <c r="H21" s="17"/>
      <c r="I21" s="87"/>
      <c r="J21" s="12" t="str">
        <f>hyperlink("http://www.twitter.com/BronyCon","@BronyCon")</f>
        <v>@BronyCon</v>
      </c>
      <c r="K21" s="12" t="str">
        <f>hyperlink("https://www.facebook.com/BronyCon","BronyCon")</f>
        <v>BronyCon</v>
      </c>
      <c r="L21" s="12" t="str">
        <f>hyperlink("http://bronycon.tumblr.com/","BronyCon")</f>
        <v>BronyCon</v>
      </c>
    </row>
    <row r="22">
      <c r="A22" s="65" t="str">
        <f>hyperlink("http://con.sibbrony.ru/","SibBroniKon")</f>
        <v>SibBroniKon</v>
      </c>
      <c r="B22" s="66" t="s">
        <v>47</v>
      </c>
      <c r="C22" s="84" t="s">
        <v>48</v>
      </c>
      <c r="D22" s="88">
        <v>41852.0</v>
      </c>
      <c r="E22" s="69">
        <v>41854.0</v>
      </c>
      <c r="F22" s="71"/>
      <c r="G22" s="71"/>
      <c r="H22" s="71"/>
      <c r="I22" s="89"/>
      <c r="J22" s="71"/>
      <c r="K22" s="65" t="str">
        <f>hyperlink("http://vk.com/ssibbrony","ssibbrony")</f>
        <v>ssibbrony</v>
      </c>
      <c r="L22" s="71"/>
    </row>
    <row r="23">
      <c r="A23" s="12" t="str">
        <f>hyperlink("http://www.galacon.eu","GalaCon 2014")</f>
        <v>GalaCon 2014</v>
      </c>
      <c r="B23" s="49" t="s">
        <v>49</v>
      </c>
      <c r="C23" s="83" t="str">
        <f>hyperlink("https://plus.google.com/104851891893746486044/","Ludwigsburg, Germany")</f>
        <v>Ludwigsburg, Germany</v>
      </c>
      <c r="D23" s="14">
        <v>41853.0</v>
      </c>
      <c r="E23" s="14">
        <v>41854.0</v>
      </c>
      <c r="F23" s="90" t="s">
        <v>50</v>
      </c>
      <c r="G23" s="12" t="str">
        <f>hyperlink("http://www.galacon.eu/rules/","[Rules]")</f>
        <v>[Rules]</v>
      </c>
      <c r="H23" s="16" t="s">
        <v>51</v>
      </c>
      <c r="I23" s="18">
        <f>IFERROR(__xludf.DUMMYFUNCTION("IF($I$1=""EUR"",8810,8810*GoogleFinance(""CURRENCY:EUR""&amp;$I$1))"),10718.721739999999)</f>
        <v>10718.72174</v>
      </c>
      <c r="J23" s="12" t="str">
        <f>hyperlink("http://www.twitter.com/gala_con","@gala_con")</f>
        <v>@gala_con</v>
      </c>
      <c r="K23" s="12" t="str">
        <f>hyperlink("https://www.facebook.com/GalaConEU","GalaConEU")</f>
        <v>GalaConEU</v>
      </c>
      <c r="L23" s="17"/>
    </row>
    <row r="24" ht="9.0" customHeight="1">
      <c r="A24" s="91" t="s">
        <v>52</v>
      </c>
      <c r="B24" s="92"/>
      <c r="C24" s="92"/>
      <c r="D24" s="93"/>
      <c r="E24" s="93"/>
      <c r="F24" s="94"/>
      <c r="G24" s="94"/>
      <c r="H24" s="95" t="str">
        <f>"Running Total for 2014 (in "&amp;$I$1&amp;"):"</f>
        <v>Running Total for 2014 (in USD):</v>
      </c>
      <c r="I24" s="96" t="str">
        <f>SUM(I3:I23)</f>
        <v>#N/A</v>
      </c>
      <c r="J24" s="94"/>
      <c r="K24" s="94"/>
      <c r="L24" s="94"/>
    </row>
    <row r="25">
      <c r="A25" s="65" t="str">
        <f>hyperlink("http://www.crystalmtponycon.com/","Crystal Mountain Pony Con 2014")</f>
        <v>Crystal Mountain Pony Con 2014</v>
      </c>
      <c r="B25" s="66" t="s">
        <v>53</v>
      </c>
      <c r="C25" s="67" t="str">
        <f>hyperlink("https://plus.google.com/117988672722727569176","Salt Lake City, UT, USA")</f>
        <v>Salt Lake City, UT, USA</v>
      </c>
      <c r="D25" s="69">
        <v>41859.0</v>
      </c>
      <c r="E25" s="69">
        <v>41860.0</v>
      </c>
      <c r="F25" s="71"/>
      <c r="G25" s="71"/>
      <c r="H25" s="71"/>
      <c r="I25" s="97"/>
      <c r="J25" s="65" t="str">
        <f>hyperlink("http://www.twitter.com/CMPC2014","@CMPC2014")</f>
        <v>@CMPC2014</v>
      </c>
      <c r="K25" s="65" t="str">
        <f>hyperlink("http://www.facebook.com/CrystalMtnPonyCon/","CrystalMtnPonyCon")</f>
        <v>CrystalMtnPonyCon</v>
      </c>
      <c r="L25" s="71"/>
    </row>
    <row r="26">
      <c r="A26" s="12" t="str">
        <f>hyperlink("http://grandgallopingbronygalacon.com/","The Grand Brony Gala 2")</f>
        <v>The Grand Brony Gala 2</v>
      </c>
      <c r="B26" s="49" t="s">
        <v>54</v>
      </c>
      <c r="C26" s="83" t="str">
        <f>hyperlink("https://plus.google.com/107315280991905066989","Tampa, FL, USA")</f>
        <v>Tampa, FL, USA</v>
      </c>
      <c r="D26" s="14">
        <v>41866.0</v>
      </c>
      <c r="E26" s="14">
        <v>41868.0</v>
      </c>
      <c r="F26" s="17"/>
      <c r="G26" s="12" t="str">
        <f>hyperlink("http://grandgallopingbronygalacon.com/FAQ.html","[FAQ]")</f>
        <v>[FAQ]</v>
      </c>
      <c r="H26" s="16" t="s">
        <v>55</v>
      </c>
      <c r="I26" s="87"/>
      <c r="J26" s="12" t="str">
        <f>hyperlink("http://www.twitter.com/grandbronygala","@GrandBronyGala")</f>
        <v>@GrandBronyGala</v>
      </c>
      <c r="K26" s="12" t="str">
        <f>hyperlink("http://Facebook.com/TheGrandBronyGala","TheGrandBronyGala")</f>
        <v>TheGrandBronyGala</v>
      </c>
      <c r="L26" s="17"/>
    </row>
    <row r="27">
      <c r="A27" s="98" t="s">
        <v>56</v>
      </c>
      <c r="B27" s="99" t="s">
        <v>57</v>
      </c>
      <c r="C27" s="100" t="s">
        <v>58</v>
      </c>
      <c r="D27" s="101" t="s">
        <v>59</v>
      </c>
      <c r="E27" s="102">
        <v>41875.0</v>
      </c>
      <c r="F27" s="103"/>
      <c r="G27" s="103"/>
      <c r="H27" s="103"/>
      <c r="I27" s="104"/>
      <c r="J27" s="105" t="str">
        <f>hyperlink("http://www.twitter.com/AtlantiQuestria","@AtlantiQuestria")</f>
        <v>@AtlantiQuestria</v>
      </c>
      <c r="K27" s="103"/>
      <c r="L27" s="105" t="str">
        <f>hyperlink("http://atlantiquestria.tumblr.com/","atlantiquestria")</f>
        <v>atlantiquestria</v>
      </c>
    </row>
    <row r="28">
      <c r="A28" s="12" t="str">
        <f>hyperlink("http://www.bronycan.ca","BronyCAN 2014")</f>
        <v>BronyCAN 2014</v>
      </c>
      <c r="B28" s="49" t="s">
        <v>60</v>
      </c>
      <c r="C28" s="83" t="str">
        <f>hyperlink("https://plus.google.com/109781574369500450286","Richmond, B.C., Canada")</f>
        <v>Richmond, B.C., Canada</v>
      </c>
      <c r="D28" s="14">
        <v>41873.0</v>
      </c>
      <c r="E28" s="14">
        <v>41875.0</v>
      </c>
      <c r="F28" s="17"/>
      <c r="G28" s="17"/>
      <c r="H28" s="17"/>
      <c r="I28" s="87"/>
      <c r="J28" s="12" t="str">
        <f>hyperlink("http://www.twitter.com/BronyCAN","@BronyCAN")</f>
        <v>@BronyCAN</v>
      </c>
      <c r="K28" s="12" t="str">
        <f>hyperlink("http://www.facebook.com/groups/BronyCan/","BronyCan")</f>
        <v>BronyCan</v>
      </c>
      <c r="L28" s="12" t="str">
        <f>hyperlink("http://ask-bronycan.tumblr.com/","ask-bronycan")</f>
        <v>ask-bronycan</v>
      </c>
    </row>
    <row r="29">
      <c r="A29" s="65" t="str">
        <f>hyperlink("http://www.buckcon.org","BUCK 2014")</f>
        <v>BUCK 2014</v>
      </c>
      <c r="B29" s="66" t="s">
        <v>61</v>
      </c>
      <c r="C29" s="67" t="str">
        <f>hyperlink("https://plus.google.com/107841784358064224148","Manchester, United Kingdom")</f>
        <v>Manchester, United Kingdom</v>
      </c>
      <c r="D29" s="69">
        <v>41873.0</v>
      </c>
      <c r="E29" s="69">
        <v>41875.0</v>
      </c>
      <c r="F29" s="71"/>
      <c r="G29" s="65" t="str">
        <f>hyperlink("http://buckcon.org/smallprint/attendee_rules","[Attendee Rules]")</f>
        <v>[Attendee Rules]</v>
      </c>
      <c r="H29" s="71"/>
      <c r="I29" s="97"/>
      <c r="J29" s="65" t="str">
        <f>hyperlink("http://www.twitter.com/BUCKcon","@BUCKcon")</f>
        <v>@BUCKcon</v>
      </c>
      <c r="K29" s="65" t="str">
        <f>hyperlink("https://www.facebook.com/BUCKCon","BUCKCon")</f>
        <v>BUCKCon</v>
      </c>
      <c r="L29" s="65" t="str">
        <f>hyperlink("http://askbritannia.tumblr.com/","askbritannia")</f>
        <v>askbritannia</v>
      </c>
    </row>
    <row r="30">
      <c r="A30" s="74" t="str">
        <f>hyperlink("http://www.czequestria.cz","Czequestria")</f>
        <v>Czequestria</v>
      </c>
      <c r="B30" s="75" t="s">
        <v>62</v>
      </c>
      <c r="C30" s="106" t="s">
        <v>63</v>
      </c>
      <c r="D30" s="77">
        <v>41881.0</v>
      </c>
      <c r="E30" s="77">
        <v>41882.0</v>
      </c>
      <c r="F30" s="51"/>
      <c r="G30" s="74" t="str">
        <f>hyperlink("https://www.czequestria.cz/rules","[Rules]")</f>
        <v>[Rules]</v>
      </c>
      <c r="H30" s="51"/>
      <c r="I30" s="107"/>
      <c r="J30" s="74" t="str">
        <f>hyperlink("https://www.twitter.com/Czequestria","@Czequestria")</f>
        <v>@Czequestria</v>
      </c>
      <c r="K30" s="74" t="str">
        <f>hyperlink("https://www.facebook.com/events/291892140969974/","[Facebook Event]")</f>
        <v>[Facebook Event]</v>
      </c>
      <c r="L30" s="51"/>
    </row>
    <row r="31">
      <c r="A31" s="43" t="str">
        <f>hyperlink("http://bronyfanfair.com/","Brony Fan Fair 2014")</f>
        <v>Brony Fan Fair 2014</v>
      </c>
      <c r="B31" s="44" t="s">
        <v>64</v>
      </c>
      <c r="C31" s="82" t="str">
        <f>hyperlink("https://plus.google.com/107544563974516316424","Austin, TX, USA")</f>
        <v>Austin, TX, USA</v>
      </c>
      <c r="D31" s="46">
        <v>41887.0</v>
      </c>
      <c r="E31" s="46">
        <v>41889.0</v>
      </c>
      <c r="F31" s="108"/>
      <c r="G31" s="43" t="str">
        <f>hyperlink("http://bronyfanfair.com/?page_id=30","[Rules &amp; Policies]")</f>
        <v>[Rules &amp; Policies]</v>
      </c>
      <c r="H31" s="109"/>
      <c r="I31" s="110"/>
      <c r="J31" s="43" t="str">
        <f>hyperlink("http://www.twitter.com/BronyFanFair","@BronyFanFair")</f>
        <v>@BronyFanFair</v>
      </c>
      <c r="K31" s="43" t="str">
        <f>hyperlink("https://www.facebook.com/BronyFanFair","BronyFanFair")</f>
        <v>BronyFanFair</v>
      </c>
      <c r="L31" s="47"/>
    </row>
    <row r="32">
      <c r="A32" s="12" t="str">
        <f>hyperlink("http://www.derpycons.com/","DerpyCon South 2014")</f>
        <v>DerpyCon South 2014</v>
      </c>
      <c r="B32" s="49" t="s">
        <v>65</v>
      </c>
      <c r="C32" s="83" t="str">
        <f>hyperlink("https://plus.google.com/110385668955346901410","New Orleans, LA, USA")</f>
        <v>New Orleans, LA, USA</v>
      </c>
      <c r="D32" s="14">
        <v>41902.0</v>
      </c>
      <c r="E32" s="14">
        <v>41903.0</v>
      </c>
      <c r="F32" s="17"/>
      <c r="G32" s="111"/>
      <c r="H32" s="17"/>
      <c r="I32" s="87"/>
      <c r="J32" s="12" t="str">
        <f>hyperlink("http://www.twitter.com/DerpyConS","@DerpyConS")</f>
        <v>@DerpyConS</v>
      </c>
      <c r="K32" s="17"/>
      <c r="L32" s="17"/>
    </row>
    <row r="33">
      <c r="A33" s="19" t="str">
        <f>hyperlink("http://sydneigh.com.au/","Sydneigh 2014")</f>
        <v>Sydneigh 2014</v>
      </c>
      <c r="B33" s="20" t="s">
        <v>66</v>
      </c>
      <c r="C33" s="53" t="str">
        <f>hyperlink("https://plus.google.com/107705989525054170294","Sydney, Australia")</f>
        <v>Sydney, Australia</v>
      </c>
      <c r="D33" s="112" t="s">
        <v>67</v>
      </c>
      <c r="E33" s="21">
        <v>41910.0</v>
      </c>
      <c r="F33" s="24"/>
      <c r="G33" s="19" t="str">
        <f>hyperlink("http://sydneigh.com.au/policies/","[Rules / Anti-Harrassment Policy]")</f>
        <v>[Rules / Anti-Harrassment Policy]</v>
      </c>
      <c r="H33" s="24"/>
      <c r="I33" s="113"/>
      <c r="J33" s="19" t="str">
        <f>hyperlink("https://www.twitter.com/Sydneigh2014","@Sydneigh2014")</f>
        <v>@Sydneigh2014</v>
      </c>
      <c r="K33" s="19" t="str">
        <f>hyperlink("https://www.facebook.com/BronyConSydney","BronyConSydney")</f>
        <v>BronyConSydney</v>
      </c>
      <c r="L33" s="24"/>
    </row>
    <row r="34">
      <c r="A34" s="56" t="str">
        <f>hyperlink("http://www.bronyscot.org.uk","BronyScot")</f>
        <v>BronyScot</v>
      </c>
      <c r="B34" s="57" t="s">
        <v>68</v>
      </c>
      <c r="C34" s="58" t="str">
        <f>hyperlink("https://plus.google.com/114609336334900757729","Edinburgh, Scotland")</f>
        <v>Edinburgh, Scotland</v>
      </c>
      <c r="D34" s="60">
        <v>41923.0</v>
      </c>
      <c r="E34" s="60">
        <v>41924.0</v>
      </c>
      <c r="F34" s="62"/>
      <c r="G34" s="62"/>
      <c r="H34" s="62"/>
      <c r="I34" s="114"/>
      <c r="J34" s="56" t="str">
        <f>hyperlink("https://twitter.com/BronyScot","@BronyScot")</f>
        <v>@BronyScot</v>
      </c>
      <c r="K34" s="56" t="str">
        <f>hyperlink("https://www.facebook.com/bronyscot","bronyscot")</f>
        <v>bronyscot</v>
      </c>
      <c r="L34" s="56" t="str">
        <f>hyperlink("http://bronyscot.tumblr.com/","bronyscot")</f>
        <v>bronyscot</v>
      </c>
    </row>
    <row r="35">
      <c r="A35" s="65" t="str">
        <f>hyperlink("http://www.ukponycon.co.uk","UK Ponycon 2014")</f>
        <v>UK Ponycon 2014</v>
      </c>
      <c r="B35" s="115" t="s">
        <v>69</v>
      </c>
      <c r="C35" s="116" t="str">
        <f>hyperlink("https://plus.google.com/100286584956155329763/","Leicester, UK")</f>
        <v>Leicester, UK</v>
      </c>
      <c r="D35" s="69">
        <v>41923.0</v>
      </c>
      <c r="E35" s="69">
        <v>41924.0</v>
      </c>
      <c r="F35" s="71"/>
      <c r="G35" s="117"/>
      <c r="H35" s="118" t="s">
        <v>70</v>
      </c>
      <c r="I35" s="89"/>
      <c r="J35" s="65" t="str">
        <f>hyperlink("http://www.twitter.com/UKPonyCon","@UKPonyCon")</f>
        <v>@UKPonyCon</v>
      </c>
      <c r="K35" s="65" t="str">
        <f>hyperlink("http://www.facebook.com/ponycon","Ponycon")</f>
        <v>Ponycon</v>
      </c>
      <c r="L35" s="71"/>
    </row>
    <row r="36">
      <c r="A36" s="12" t="str">
        <f>hyperlink("http://crystalfairstl.com/","St. Louis Crystal Fair 2014")</f>
        <v>St. Louis Crystal Fair 2014</v>
      </c>
      <c r="B36" s="13" t="s">
        <v>71</v>
      </c>
      <c r="C36" s="83" t="str">
        <f>hyperlink("https://plus.google.com/109632666201765828362/","St. Louis, MO, USA")</f>
        <v>St. Louis, MO, USA</v>
      </c>
      <c r="D36" s="14">
        <v>41929.0</v>
      </c>
      <c r="E36" s="14">
        <v>41931.0</v>
      </c>
      <c r="F36" s="17"/>
      <c r="G36" s="17"/>
      <c r="H36" s="17"/>
      <c r="I36" s="119"/>
      <c r="J36" s="12" t="str">
        <f>hyperlink("https://twitter.com/CrystalFairSTL","@CrystalFairSTL")</f>
        <v>@CrystalFairSTL</v>
      </c>
      <c r="K36" s="12" t="str">
        <f>hyperlink("https://www.facebook.com/CrystalFairStl","CrystalFairStl")</f>
        <v>CrystalFairStl</v>
      </c>
      <c r="L36" s="12" t="str">
        <f>hyperlink("http://crystalfairstl.tumblr.com/","crystalfairstl")</f>
        <v>crystalfairstl</v>
      </c>
    </row>
    <row r="37">
      <c r="A37" s="65" t="str">
        <f>hyperlink("http://nightmarenights.net/","Nightmare Nights 2014")</f>
        <v>Nightmare Nights 2014</v>
      </c>
      <c r="B37" s="115" t="s">
        <v>72</v>
      </c>
      <c r="C37" s="67" t="str">
        <f>hyperlink("https://plus.google.com/105207032485767007816/","Dallas, Texas, USA")</f>
        <v>Dallas, Texas, USA</v>
      </c>
      <c r="D37" s="69">
        <v>41936.0</v>
      </c>
      <c r="E37" s="69">
        <v>41938.0</v>
      </c>
      <c r="F37" s="71"/>
      <c r="G37" s="65" t="str">
        <f>hyperlink("http://nightmarenights.net/index.php/policies-2/codeofconduct/","[Code of Conduct]")</f>
        <v>[Code of Conduct]</v>
      </c>
      <c r="H37" s="71"/>
      <c r="I37" s="97"/>
      <c r="J37" s="65" t="str">
        <f>hyperlink("http://www.twitter.com/NightmareNights","@NightmareNights")</f>
        <v>@NightmareNights</v>
      </c>
      <c r="K37" s="65" t="str">
        <f>hyperlink("https://www.facebook.com/NMNDallas","NMNDallas")</f>
        <v>NMNDallas</v>
      </c>
      <c r="L37" s="71"/>
    </row>
    <row r="38" ht="14.25" customHeight="1">
      <c r="A38" s="74" t="str">
        <f>hyperlink("http://rotlcon.com/","Running of the Leaves Con 2014")</f>
        <v>Running of the Leaves Con 2014</v>
      </c>
      <c r="B38" s="120" t="s">
        <v>73</v>
      </c>
      <c r="C38" s="121" t="str">
        <f>hyperlink("https://plus.google.com/107263432823699599896/","Denver, Colorado, USA")</f>
        <v>Denver, Colorado, USA</v>
      </c>
      <c r="D38" s="122" t="s">
        <v>74</v>
      </c>
      <c r="E38" s="123">
        <v>41945.0</v>
      </c>
      <c r="F38" s="51"/>
      <c r="G38" s="124"/>
      <c r="H38" s="125"/>
      <c r="I38" s="107"/>
      <c r="J38" s="74" t="str">
        <f>hyperlink("https://www.twitter.com/RotLCon","@RotLCon")</f>
        <v>@RotLCon</v>
      </c>
      <c r="K38" s="74" t="str">
        <f>hyperlink("https://www.facebook.com/RotLCon","RotLCon")</f>
        <v>RotLCon</v>
      </c>
      <c r="L38" s="125"/>
    </row>
    <row r="39">
      <c r="A39" s="43" t="str">
        <f>hyperlink("http://ponycon.jp/","JapanPonycon 4")</f>
        <v>JapanPonycon 4</v>
      </c>
      <c r="B39" s="126" t="s">
        <v>12</v>
      </c>
      <c r="C39" s="82" t="str">
        <f>hyperlink("https://www.google.com/maps/place/%E5%B7%9D%E5%B4%8E%E5%B8%82%E5%BD%B9%E6%89%80+%E7%B5%8C%E6%B8%88%E5%8A%B4%E5%83%8D%E5%B1%80%E5%B7%9D%E5%B4%8E%E5%B8%82%E7%94%A3%E6%A5%AD%E6%8C%AF%E8%88%88%E4%BC%9A%E9%A4%A8/@35.535333,139.700959,16z/data=!4m2!3m1!1s0x0:0x"&amp;"af9a6f040b65ff4c?hl=en-US","Kawasaki, Japan")</f>
        <v>Kawasaki, Japan</v>
      </c>
      <c r="D39" s="46">
        <v>41944.0</v>
      </c>
      <c r="E39" s="127" t="s">
        <v>13</v>
      </c>
      <c r="F39" s="47"/>
      <c r="G39" s="47"/>
      <c r="H39" s="47"/>
      <c r="I39" s="128"/>
      <c r="J39" s="43" t="str">
        <f>hyperlink("http://www.twitter.com/JapanPonyCon","@JapanPonyCon")</f>
        <v>@JapanPonyCon</v>
      </c>
      <c r="K39" s="47"/>
      <c r="L39" s="43" t="str">
        <f>hyperlink("http://poniko-jpc.tumblr.com/","poniko-jpc")</f>
        <v>poniko-jpc</v>
      </c>
    </row>
    <row r="40">
      <c r="A40" s="12" t="str">
        <f>hyperlink("http://www.ponyvilleciderfest.com/","Ponyville Ciderfest")</f>
        <v>Ponyville Ciderfest</v>
      </c>
      <c r="B40" s="13" t="s">
        <v>75</v>
      </c>
      <c r="C40" s="83" t="str">
        <f>hyperlink("https://plus.google.com/110560362037830705260","Milwaukee, WI, USA")</f>
        <v>Milwaukee, WI, USA</v>
      </c>
      <c r="D40" s="14">
        <v>41950.0</v>
      </c>
      <c r="E40" s="14">
        <v>41952.0</v>
      </c>
      <c r="F40" s="17"/>
      <c r="G40" s="17"/>
      <c r="H40" s="17"/>
      <c r="I40" s="87"/>
      <c r="J40" s="12" t="str">
        <f>hyperlink("https://www.twitter.com/PonyCiderfest","@PonyCiderfest")</f>
        <v>@PonyCiderfest</v>
      </c>
      <c r="K40" s="12" t="str">
        <f>hyperlink("https://www.facebook.com/ponyvilleciderfest","ponyvilleciderfest")</f>
        <v>ponyvilleciderfest</v>
      </c>
      <c r="L40" s="17"/>
    </row>
    <row r="41">
      <c r="A41" s="129" t="str">
        <f>hyperlink("https://www.drawncon.com","DrawnCon: Season 2")</f>
        <v>DrawnCon: Season 2</v>
      </c>
      <c r="B41" s="115" t="s">
        <v>76</v>
      </c>
      <c r="C41" s="67" t="str">
        <f>hyperlink("https://plus.google.com/112799950515028755154","Westford, MA, USA")</f>
        <v>Westford, MA, USA</v>
      </c>
      <c r="D41" s="69">
        <v>41958.0</v>
      </c>
      <c r="E41" s="88">
        <v>41959.0</v>
      </c>
      <c r="F41" s="71"/>
      <c r="G41" s="130"/>
      <c r="H41" s="130"/>
      <c r="I41" s="89"/>
      <c r="J41" s="65" t="str">
        <f>hyperlink("http://www.twitter.com/drawncon","@DrawnCon")</f>
        <v>@DrawnCon</v>
      </c>
      <c r="K41" s="65" t="str">
        <f>hyperlink("https://www.facebook.com/Drawncon","Drawncon")</f>
        <v>Drawncon</v>
      </c>
      <c r="L41" s="65" t="str">
        <f>hyperlink("http://drawncon.tumblr.com/","drawncon")</f>
        <v>drawncon</v>
      </c>
    </row>
    <row r="42">
      <c r="A42" s="79" t="s">
        <v>77</v>
      </c>
      <c r="B42" s="51"/>
      <c r="C42" s="76" t="str">
        <f>hyperlink("https://plus.google.com/101994917635500795001/","Pasay City, Metro Manila, the Philippines")</f>
        <v>Pasay City, Metro Manila, the Philippines</v>
      </c>
      <c r="D42" s="77">
        <v>41958.0</v>
      </c>
      <c r="E42" s="78" t="s">
        <v>13</v>
      </c>
      <c r="F42" s="51"/>
      <c r="G42" s="51"/>
      <c r="H42" s="51"/>
      <c r="I42" s="107"/>
      <c r="J42" s="51"/>
      <c r="K42" s="74" t="str">
        <f>hyperlink("https://www.facebook.com/Fillypinana","Fillypinana")</f>
        <v>Fillypinana</v>
      </c>
      <c r="L42" s="51"/>
    </row>
    <row r="43" hidden="1">
      <c r="A43" s="131" t="str">
        <f>hyperlink("https://www.derpycon.com/","DerpyCon 2014")</f>
        <v>DerpyCon 2014</v>
      </c>
      <c r="B43" s="126" t="s">
        <v>78</v>
      </c>
      <c r="C43" s="82" t="str">
        <f>hyperlink("https://plus.google.com/117495067022062316582","Morristown, NJ, USA")</f>
        <v>Morristown, NJ, USA</v>
      </c>
      <c r="D43" s="46">
        <v>41978.0</v>
      </c>
      <c r="E43" s="46">
        <v>41980.0</v>
      </c>
      <c r="F43" s="47"/>
      <c r="G43" s="47"/>
      <c r="H43" s="132" t="s">
        <v>79</v>
      </c>
      <c r="I43" s="128"/>
      <c r="J43" s="43" t="str">
        <f>hyperlink("https://www.twitter.com/DerpyCon","@DerpyCon")</f>
        <v>@DerpyCon</v>
      </c>
      <c r="K43" s="47"/>
      <c r="L43" s="47"/>
    </row>
    <row r="44">
      <c r="A44" s="71"/>
      <c r="B44" s="71"/>
      <c r="C44" s="73"/>
      <c r="D44" s="133"/>
      <c r="E44" s="134"/>
      <c r="F44" s="71"/>
      <c r="G44" s="71"/>
      <c r="H44" s="133"/>
      <c r="I44" s="97"/>
      <c r="J44" s="71"/>
      <c r="K44" s="71"/>
      <c r="L44" s="71"/>
    </row>
    <row r="45">
      <c r="A45" s="135" t="s">
        <v>80</v>
      </c>
      <c r="B45" s="136"/>
      <c r="C45" s="137"/>
      <c r="D45" s="138"/>
      <c r="E45" s="138"/>
      <c r="F45" s="136"/>
      <c r="G45" s="136"/>
      <c r="H45" s="136"/>
      <c r="I45" s="139"/>
      <c r="J45" s="136"/>
      <c r="K45" s="136"/>
      <c r="L45" s="136"/>
    </row>
    <row r="46">
      <c r="A46" s="12" t="str">
        <f>hyperlink("http://cloudsdalecongress.com/","Cloudsdale Congress 2014")</f>
        <v>Cloudsdale Congress 2014</v>
      </c>
      <c r="B46" s="13" t="s">
        <v>81</v>
      </c>
      <c r="C46" s="50" t="s">
        <v>82</v>
      </c>
      <c r="D46" s="90" t="s">
        <v>83</v>
      </c>
      <c r="E46" s="140"/>
      <c r="F46" s="17"/>
      <c r="G46" s="111"/>
      <c r="H46" s="17"/>
      <c r="I46" s="87"/>
      <c r="J46" s="12" t="str">
        <f>hyperlink("http://www.twitter.com/CloudsdaleCon","@CloudsdaleCon")</f>
        <v>@CloudsdaleCon</v>
      </c>
      <c r="K46" s="12" t="str">
        <f>hyperlink("http://www.facebook.com/CloudsdaleCongress","CloudsdaleCongress")</f>
        <v>CloudsdaleCongress</v>
      </c>
      <c r="L46" s="12" t="str">
        <f>hyperlink("http://cloudsdalecongress.tumblr.com/","cloudsdalecongress")</f>
        <v>cloudsdalecongress</v>
      </c>
    </row>
    <row r="47">
      <c r="A47" s="65" t="str">
        <f>hyperlink("http://www.canterlotconvention.com/","CANterlot Con 2014")</f>
        <v>CANterlot Con 2014</v>
      </c>
      <c r="B47" s="141" t="s">
        <v>84</v>
      </c>
      <c r="C47" s="84" t="s">
        <v>85</v>
      </c>
      <c r="D47" s="70">
        <v>2014.0</v>
      </c>
      <c r="E47" s="71"/>
      <c r="F47" s="71"/>
      <c r="I47" s="89"/>
      <c r="J47" s="65" t="str">
        <f>hyperlink("https://www.twitter.com/CANterlotCon","@CANterlotCon")</f>
        <v>@CANterlotCon</v>
      </c>
      <c r="K47" s="65" t="str">
        <f>hyperlink("https://www.facebook.com/CaNterlotCon","CaNterlotCon")</f>
        <v>CaNterlotCon</v>
      </c>
    </row>
    <row r="48" hidden="1">
      <c r="A48" s="72" t="s">
        <v>86</v>
      </c>
      <c r="B48" s="71"/>
      <c r="C48" s="84" t="s">
        <v>87</v>
      </c>
      <c r="D48" s="70">
        <v>2014.0</v>
      </c>
      <c r="E48" s="134"/>
      <c r="F48" s="71"/>
      <c r="G48" s="71"/>
      <c r="H48" s="71"/>
      <c r="I48" s="97"/>
      <c r="J48" s="71"/>
      <c r="K48" s="71"/>
      <c r="L48" s="71"/>
    </row>
    <row r="49">
      <c r="C49" s="142"/>
      <c r="I49" s="89"/>
    </row>
    <row r="50">
      <c r="A50" s="143" t="s">
        <v>88</v>
      </c>
      <c r="B50" s="144"/>
      <c r="C50" s="137"/>
      <c r="D50" s="145"/>
      <c r="E50" s="145"/>
      <c r="F50" s="144"/>
      <c r="G50" s="144"/>
      <c r="H50" s="144"/>
      <c r="I50" s="146"/>
      <c r="J50" s="136"/>
      <c r="K50" s="144"/>
      <c r="L50" s="144"/>
    </row>
    <row r="51">
      <c r="A51" s="147" t="str">
        <f>hyperlink("http://www.hwcon.nl/","Hearth's Warming Con")</f>
        <v>Hearth's Warming Con</v>
      </c>
      <c r="B51" s="148" t="s">
        <v>89</v>
      </c>
      <c r="C51" s="83" t="str">
        <f>hyperlink("https://plus.google.com/108573873099274347031/","Hoofddorp, the Netherlands")</f>
        <v>Hoofddorp, the Netherlands</v>
      </c>
      <c r="D51" s="149">
        <v>42056.0</v>
      </c>
      <c r="E51" s="149">
        <v>42057.0</v>
      </c>
      <c r="F51" s="150"/>
      <c r="G51" s="150"/>
      <c r="H51" s="150"/>
      <c r="I51" s="151"/>
      <c r="J51" s="12" t="str">
        <f>hyperlink("https://twitter.com/HWConvention","@HWConvention")</f>
        <v>@HWConvention</v>
      </c>
      <c r="K51" s="150"/>
      <c r="L51" s="150"/>
    </row>
    <row r="52">
      <c r="A52" s="65" t="str">
        <f>hyperlink("http://www.ponyconau.com/","Ponycon AU 2015")</f>
        <v>Ponycon AU 2015</v>
      </c>
      <c r="B52" s="66" t="s">
        <v>15</v>
      </c>
      <c r="C52" s="84" t="s">
        <v>90</v>
      </c>
      <c r="D52" s="68" t="s">
        <v>91</v>
      </c>
      <c r="E52" s="69">
        <v>42057.0</v>
      </c>
      <c r="F52" s="71"/>
      <c r="G52" s="71"/>
      <c r="H52" s="71"/>
      <c r="I52" s="73"/>
      <c r="J52" s="65" t="str">
        <f>hyperlink("http://www.twitter.com/PonyconAU","@PonyconAU")</f>
        <v>@PonyconAU</v>
      </c>
      <c r="K52" s="65" t="str">
        <f>hyperlink("https://www.facebook.com/ponyconau","ponyconau")</f>
        <v>ponyconau</v>
      </c>
      <c r="L52" s="65" t="str">
        <f>hyperlink("http://ponyconau.tumblr.com/","ponyconau")</f>
        <v>ponyconau</v>
      </c>
    </row>
    <row r="53">
      <c r="A53" s="12" t="str">
        <f>hyperlink("http://www.babscon.com/","Bay Area Brony Spectacular (BABSCon)")</f>
        <v>Bay Area Brony Spectacular (BABSCon)</v>
      </c>
      <c r="B53" s="13" t="s">
        <v>19</v>
      </c>
      <c r="C53" s="83" t="str">
        <f>hyperlink("https://plus.google.com/112418898496525660360","San Francisco, CA, USA")</f>
        <v>San Francisco, CA, USA</v>
      </c>
      <c r="D53" s="152" t="s">
        <v>92</v>
      </c>
      <c r="E53" s="14">
        <v>42099.0</v>
      </c>
      <c r="F53" s="153"/>
      <c r="G53" s="12" t="str">
        <f>hyperlink("http://www.babscon.com/2014/rules-policies/","[Rules &amp; Policies (2014)]")</f>
        <v>[Rules &amp; Policies (2014)]</v>
      </c>
      <c r="H53" s="154"/>
      <c r="I53" s="87"/>
      <c r="J53" s="12" t="str">
        <f>hyperlink("http://www.twitter.com/babsconsf","@babsconsf")</f>
        <v>@babsconsf</v>
      </c>
      <c r="K53" s="12" t="str">
        <f>hyperlink("https://www.facebook.com/babsconsf","babsconsf")</f>
        <v>babsconsf</v>
      </c>
      <c r="L53" s="12" t="str">
        <f>hyperlink("http://babsconsf.tumblr.com","babsconsf")</f>
        <v>babsconsf</v>
      </c>
    </row>
    <row r="54">
      <c r="A54" s="65" t="str">
        <f>hyperlink("http://brony-fair.de/","Brony Fair")</f>
        <v>Brony Fair</v>
      </c>
      <c r="B54" s="115" t="s">
        <v>93</v>
      </c>
      <c r="C54" s="84" t="s">
        <v>94</v>
      </c>
      <c r="D54" s="69">
        <v>42105.0</v>
      </c>
      <c r="E54" s="69">
        <v>42106.0</v>
      </c>
      <c r="F54" s="71"/>
      <c r="G54" s="71"/>
      <c r="H54" s="71"/>
      <c r="I54" s="97"/>
      <c r="J54" s="65" t="str">
        <f>hyperlink("https://twitter.com/BronyFair","@BronyFair")</f>
        <v>@BronyFair</v>
      </c>
      <c r="K54" s="65" t="str">
        <f>hyperlink("https://www.facebook.com/Brony-Fair","Brony-Fair")</f>
        <v>Brony-Fair</v>
      </c>
      <c r="L54" s="71"/>
    </row>
    <row r="55">
      <c r="A55" s="12" t="str">
        <f>hyperlink("http://www.everfreenw.com","Everfree Northwest 2015")</f>
        <v>Everfree Northwest 2015</v>
      </c>
      <c r="B55" s="13" t="s">
        <v>39</v>
      </c>
      <c r="C55" s="83" t="str">
        <f>hyperlink("https://plus.google.com/104123350610547285409","Seattle, WA, USA")</f>
        <v>Seattle, WA, USA</v>
      </c>
      <c r="D55" s="14">
        <v>42153.0</v>
      </c>
      <c r="E55" s="14">
        <v>42155.0</v>
      </c>
      <c r="F55" s="17"/>
      <c r="G55" s="12" t="str">
        <f>hyperlink("https://everfreenw.com/policies","[Policies (2014)]")</f>
        <v>[Policies (2014)]</v>
      </c>
      <c r="H55" s="17"/>
      <c r="I55" s="155"/>
      <c r="J55" s="12" t="str">
        <f>hyperlink("http://www.twitter.com/EverfreeNW","@EverfreeNW")</f>
        <v>@EverfreeNW</v>
      </c>
      <c r="K55" s="12" t="str">
        <f>hyperlink("https://www.facebook.com/EverfreeNW","EverfreeNW")</f>
        <v>EverfreeNW</v>
      </c>
      <c r="L55" s="12" t="str">
        <f>hyperlink("http://everfreenw.tumblr.com/","EverfreeNW")</f>
        <v>EverfreeNW</v>
      </c>
    </row>
    <row r="56">
      <c r="A56" s="72" t="s">
        <v>95</v>
      </c>
      <c r="B56" s="115" t="s">
        <v>46</v>
      </c>
      <c r="C56" s="67" t="str">
        <f>hyperlink("https://plus.google.com/115939139391701977092","Baltimore, MD, USA")</f>
        <v>Baltimore, MD, USA</v>
      </c>
      <c r="D56" s="68" t="s">
        <v>96</v>
      </c>
      <c r="E56" s="69">
        <v>42225.0</v>
      </c>
      <c r="F56" s="71"/>
      <c r="G56" s="71"/>
      <c r="H56" s="71"/>
      <c r="I56" s="97"/>
      <c r="J56" s="65" t="str">
        <f>hyperlink("http://www.twitter.com/BronyCon","@BronyCon")</f>
        <v>@BronyCon</v>
      </c>
      <c r="K56" s="65" t="str">
        <f>hyperlink("https://www.facebook.com/BronyCon","BronyCon")</f>
        <v>BronyCon</v>
      </c>
      <c r="L56" s="65" t="str">
        <f>hyperlink("http://bronycon.tumblr.com/","BronyCon")</f>
        <v>BronyCon</v>
      </c>
    </row>
    <row r="57">
      <c r="C57" s="142"/>
      <c r="I57" s="89"/>
    </row>
    <row r="58" ht="14.25" customHeight="1">
      <c r="A58" s="12" t="str">
        <f>hyperlink("http://southernskiespj.com/","Southern Skies Pony Jubilee")</f>
        <v>Southern Skies Pony Jubilee</v>
      </c>
      <c r="B58" s="13" t="s">
        <v>97</v>
      </c>
      <c r="C58" s="50" t="s">
        <v>45</v>
      </c>
      <c r="D58" s="90" t="s">
        <v>98</v>
      </c>
      <c r="E58" s="140"/>
      <c r="F58" s="17"/>
      <c r="G58" s="17"/>
      <c r="H58" s="17"/>
      <c r="I58" s="87"/>
      <c r="J58" s="12" t="str">
        <f>hyperlink("http://www.twitter.com/SouthernSkiespj","@SouthernSkiespj")</f>
        <v>@SouthernSkiespj</v>
      </c>
      <c r="K58" s="17"/>
      <c r="L58" s="17"/>
    </row>
    <row r="59">
      <c r="A59" s="71"/>
      <c r="B59" s="71"/>
      <c r="C59" s="73"/>
      <c r="D59" s="133"/>
      <c r="E59" s="134"/>
      <c r="F59" s="71"/>
      <c r="G59" s="71"/>
      <c r="H59" s="71"/>
      <c r="I59" s="71"/>
      <c r="J59" s="71"/>
      <c r="K59" s="71"/>
      <c r="L59" s="71"/>
    </row>
    <row r="60">
      <c r="A60" s="72" t="s">
        <v>99</v>
      </c>
      <c r="B60" s="115" t="s">
        <v>100</v>
      </c>
      <c r="C60" s="156" t="s">
        <v>101</v>
      </c>
      <c r="D60" s="70">
        <v>2015.0</v>
      </c>
      <c r="E60" s="71"/>
      <c r="F60" s="71"/>
      <c r="G60" s="71"/>
      <c r="H60" s="130"/>
      <c r="I60" s="89"/>
      <c r="J60" s="65" t="str">
        <f>hyperlink("http://www.twitter.com/BronyDays","@BronyDays")</f>
        <v>@BronyDays</v>
      </c>
      <c r="K60" s="65" t="str">
        <f>hyperlink("https://www.facebook.com/BronyDays","BronyDays")</f>
        <v>BronyDays</v>
      </c>
      <c r="L60" s="157"/>
    </row>
    <row r="61">
      <c r="A61" s="12" t="str">
        <f>hyperlink("http://eu-m.ch/","EUM 2014")</f>
        <v>EUM 2014</v>
      </c>
      <c r="B61" s="13" t="s">
        <v>102</v>
      </c>
      <c r="C61" s="50" t="s">
        <v>103</v>
      </c>
      <c r="D61" s="90">
        <v>2015.0</v>
      </c>
      <c r="E61" s="140"/>
      <c r="F61" s="17"/>
      <c r="G61" s="17"/>
      <c r="H61" s="17"/>
      <c r="I61" s="87"/>
      <c r="J61" s="12" t="str">
        <f>hyperlink("http://www.twitter.com/EUM2014","@EUM2014")</f>
        <v>@EUM2014</v>
      </c>
      <c r="K61" s="17"/>
      <c r="L61" s="17"/>
    </row>
    <row r="62">
      <c r="A62" s="65" t="str">
        <f>hyperlink("http://nightmarenights.net/","Nightmare Nights 2015")</f>
        <v>Nightmare Nights 2015</v>
      </c>
      <c r="B62" s="115" t="s">
        <v>72</v>
      </c>
      <c r="C62" s="67" t="str">
        <f>hyperlink("https://plus.google.com/105207032485767007816/","Dallas, Texas, USA")</f>
        <v>Dallas, Texas, USA</v>
      </c>
      <c r="D62" s="70">
        <v>2015.0</v>
      </c>
      <c r="E62" s="134"/>
      <c r="F62" s="71"/>
      <c r="G62" s="71"/>
      <c r="H62" s="71"/>
      <c r="I62" s="97"/>
      <c r="J62" s="65" t="str">
        <f>hyperlink("http://www.twitter.com/NightmareNights","@NightmareNights")</f>
        <v>@NightmareNights</v>
      </c>
      <c r="K62" s="71"/>
      <c r="L62" s="71"/>
    </row>
    <row r="63">
      <c r="A63" s="16" t="s">
        <v>104</v>
      </c>
      <c r="B63" s="13" t="s">
        <v>27</v>
      </c>
      <c r="C63" s="50" t="s">
        <v>105</v>
      </c>
      <c r="D63" s="90">
        <v>2015.0</v>
      </c>
      <c r="E63" s="140"/>
      <c r="F63" s="17"/>
      <c r="G63" s="17"/>
      <c r="H63" s="17"/>
      <c r="I63" s="87"/>
      <c r="J63" s="17"/>
      <c r="K63" s="17"/>
      <c r="L63" s="17"/>
    </row>
    <row r="64" ht="14.25" customHeight="1">
      <c r="A64" s="72" t="s">
        <v>106</v>
      </c>
      <c r="B64" s="71"/>
      <c r="C64" s="84" t="s">
        <v>107</v>
      </c>
      <c r="D64" s="70">
        <v>2015.0</v>
      </c>
      <c r="E64" s="134"/>
      <c r="F64" s="71"/>
      <c r="G64" s="71"/>
      <c r="H64" s="71"/>
      <c r="I64" s="97"/>
      <c r="J64" s="65" t="str">
        <f>hyperlink("http://www.twitter.com/Maredrid","@Maredrid")</f>
        <v>@Maredrid</v>
      </c>
      <c r="K64" s="71"/>
      <c r="L64" s="71"/>
    </row>
    <row r="65">
      <c r="A65" s="158" t="s">
        <v>108</v>
      </c>
      <c r="B65" s="49" t="s">
        <v>109</v>
      </c>
      <c r="C65" s="50" t="s">
        <v>110</v>
      </c>
      <c r="D65" s="152" t="s">
        <v>111</v>
      </c>
      <c r="E65" s="140"/>
      <c r="F65" s="153"/>
      <c r="G65" s="12" t="str">
        <f>hyperlink("http://trotcon.net/info-desk/policies/","[Rules &amp; Policies (2014)]")</f>
        <v>[Rules &amp; Policies (2014)]</v>
      </c>
      <c r="H65" s="17"/>
      <c r="I65" s="18"/>
      <c r="J65" s="12" t="str">
        <f>hyperlink("http://www.twitter.com/TrotCon","@TrotCon")</f>
        <v>@TrotCon</v>
      </c>
      <c r="K65" s="12" t="str">
        <f>hyperlink("https://www.facebook.com/trotcon.ohio","trotcon.ohio")</f>
        <v>trotcon.ohio</v>
      </c>
      <c r="L65" s="12" t="str">
        <f>hyperlink("http://trotcon.tumblr.com/","trotcon")</f>
        <v>trotcon</v>
      </c>
    </row>
    <row r="66">
      <c r="A66" s="159"/>
      <c r="B66" s="157"/>
      <c r="C66" s="160"/>
      <c r="D66" s="161"/>
      <c r="E66" s="161"/>
      <c r="F66" s="157"/>
      <c r="G66" s="157"/>
      <c r="H66" s="157"/>
      <c r="I66" s="162"/>
      <c r="J66" s="157"/>
      <c r="K66" s="157"/>
      <c r="L66" s="157"/>
    </row>
    <row r="67">
      <c r="A67" s="143" t="s">
        <v>112</v>
      </c>
      <c r="B67" s="144"/>
      <c r="C67" s="163"/>
      <c r="D67" s="145"/>
      <c r="E67" s="145"/>
      <c r="F67" s="144"/>
      <c r="G67" s="144"/>
      <c r="H67" s="144"/>
      <c r="I67" s="146"/>
      <c r="J67" s="144"/>
      <c r="K67" s="144"/>
      <c r="L67" s="144"/>
    </row>
    <row r="68">
      <c r="A68" s="164" t="s">
        <v>113</v>
      </c>
      <c r="B68" s="148" t="s">
        <v>46</v>
      </c>
      <c r="C68" s="165" t="str">
        <f>hyperlink("https://plus.google.com/115939139391701977092","Baltimore, MD, USA")</f>
        <v>Baltimore, MD, USA</v>
      </c>
      <c r="D68" s="166" t="s">
        <v>114</v>
      </c>
      <c r="E68" s="167"/>
      <c r="F68" s="150"/>
      <c r="G68" s="150"/>
      <c r="H68" s="150"/>
      <c r="I68" s="151"/>
      <c r="J68" s="147" t="str">
        <f>hyperlink("http://www.twitter.com/BronyCon","@BronyCon")</f>
        <v>@BronyCon</v>
      </c>
      <c r="K68" s="147" t="str">
        <f>hyperlink("https://www.facebook.com/BronyCon","BronyCon")</f>
        <v>BronyCon</v>
      </c>
      <c r="L68" s="147" t="str">
        <f>hyperlink("http://bronycon.tumblr.com/","BronyCon")</f>
        <v>BronyCon</v>
      </c>
    </row>
    <row r="69">
      <c r="A69" s="159"/>
      <c r="B69" s="157"/>
      <c r="C69" s="160"/>
      <c r="D69" s="161"/>
      <c r="E69" s="161"/>
      <c r="F69" s="157"/>
      <c r="G69" s="157"/>
      <c r="H69" s="157"/>
      <c r="I69" s="162"/>
      <c r="J69" s="157"/>
      <c r="K69" s="157"/>
      <c r="L69" s="157"/>
    </row>
    <row r="70">
      <c r="A70" s="168" t="s">
        <v>115</v>
      </c>
      <c r="B70" s="136"/>
      <c r="C70" s="137"/>
      <c r="D70" s="138"/>
      <c r="E70" s="138"/>
      <c r="F70" s="136"/>
      <c r="G70" s="136"/>
      <c r="H70" s="136"/>
      <c r="I70" s="139"/>
      <c r="J70" s="136"/>
      <c r="K70" s="136"/>
      <c r="L70" s="136"/>
    </row>
    <row r="71">
      <c r="A71" s="72" t="s">
        <v>116</v>
      </c>
      <c r="B71" s="66" t="s">
        <v>41</v>
      </c>
      <c r="C71" s="84" t="s">
        <v>117</v>
      </c>
      <c r="D71" s="70">
        <v>2015.0</v>
      </c>
      <c r="E71" s="134"/>
      <c r="F71" s="71"/>
      <c r="G71" s="71"/>
      <c r="H71" s="71"/>
      <c r="I71" s="73"/>
      <c r="J71" s="65" t="str">
        <f>hyperlink("http://www.twitter.com/BronyExpo","@BronyExpo")</f>
        <v>@BronyExpo</v>
      </c>
      <c r="K71" s="71"/>
      <c r="L71" s="71"/>
    </row>
    <row r="72" ht="14.25" customHeight="1">
      <c r="A72" s="16" t="s">
        <v>118</v>
      </c>
      <c r="B72" s="17"/>
      <c r="C72" s="50" t="s">
        <v>119</v>
      </c>
      <c r="D72" s="153"/>
      <c r="E72" s="140"/>
      <c r="F72" s="17"/>
      <c r="G72" s="17"/>
      <c r="H72" s="17"/>
      <c r="I72" s="87"/>
      <c r="J72" s="17"/>
      <c r="K72" s="17"/>
      <c r="L72" s="17"/>
    </row>
    <row r="73" ht="14.25" customHeight="1">
      <c r="A73" s="72" t="s">
        <v>120</v>
      </c>
      <c r="B73" s="71"/>
      <c r="C73" s="84" t="s">
        <v>121</v>
      </c>
      <c r="D73" s="133"/>
      <c r="E73" s="134"/>
      <c r="F73" s="71"/>
      <c r="G73" s="71"/>
      <c r="H73" s="71"/>
      <c r="I73" s="97"/>
      <c r="J73" s="71"/>
      <c r="K73" s="71"/>
      <c r="L73" s="71"/>
    </row>
    <row r="74" ht="14.25" customHeight="1">
      <c r="A74" s="16" t="s">
        <v>122</v>
      </c>
      <c r="B74" s="17"/>
      <c r="C74" s="50" t="s">
        <v>123</v>
      </c>
      <c r="D74" s="152" t="s">
        <v>124</v>
      </c>
      <c r="E74" s="140"/>
      <c r="F74" s="17"/>
      <c r="G74" s="17"/>
      <c r="H74" s="17"/>
      <c r="I74" s="87"/>
      <c r="J74" s="12" t="str">
        <f>hyperlink("http://www.twitter.com/M_A_Larson","@M_A_Larson")</f>
        <v>@M_A_Larson</v>
      </c>
      <c r="K74" s="17"/>
      <c r="L74" s="17"/>
    </row>
    <row r="75">
      <c r="A75" s="65" t="str">
        <f>hyperlink("http://cloudsdalecon.weebly.com","Cloudsdale Brony Convention")</f>
        <v>Cloudsdale Brony Convention</v>
      </c>
      <c r="B75" s="115" t="s">
        <v>125</v>
      </c>
      <c r="C75" s="84" t="s">
        <v>126</v>
      </c>
      <c r="D75" s="68" t="s">
        <v>127</v>
      </c>
      <c r="E75" s="134"/>
      <c r="F75" s="71"/>
      <c r="G75" s="71"/>
      <c r="H75" s="71"/>
      <c r="I75" s="97"/>
      <c r="J75" s="65" t="str">
        <f>hyperlink("http://twitter.com/brony2468","@brony2468")</f>
        <v>@brony2468</v>
      </c>
      <c r="K75" s="65" t="str">
        <f>hyperlink("https://www.facebook.com/BronyconOfColorado","BronyconOfColorado")</f>
        <v>BronyconOfColorado</v>
      </c>
      <c r="L75" s="71"/>
    </row>
    <row r="76">
      <c r="A76" s="71"/>
      <c r="B76" s="71"/>
      <c r="C76" s="73"/>
      <c r="D76" s="133"/>
      <c r="E76" s="133"/>
      <c r="F76" s="71"/>
      <c r="G76" s="71"/>
      <c r="H76" s="71"/>
      <c r="I76" s="130"/>
      <c r="J76" s="71"/>
      <c r="K76" s="71"/>
      <c r="L76" s="71"/>
    </row>
    <row r="77">
      <c r="A77" s="70" t="s">
        <v>128</v>
      </c>
      <c r="B77" s="72" t="s">
        <v>129</v>
      </c>
      <c r="C77" s="73"/>
      <c r="D77" s="133"/>
      <c r="E77" s="133"/>
      <c r="F77" s="71"/>
      <c r="G77" s="71"/>
      <c r="H77" s="71"/>
      <c r="I77" s="130"/>
      <c r="J77" s="71"/>
      <c r="K77" s="71"/>
      <c r="L77" s="71"/>
    </row>
  </sheetData>
  <dataValidations>
    <dataValidation type="list" allowBlank="1" showInputMessage="1" showErrorMessage="1" prompt="Please choose a home currency." sqref="I1">
      <formula1>"USD,GBP,EUR,CAD,AUD,JPY,SGD,MXN"</formula1>
    </dataValidation>
  </dataValidations>
  <hyperlinks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  <hyperlink r:id="rId10" ref="B11"/>
    <hyperlink r:id="rId11" ref="B12"/>
    <hyperlink r:id="rId12" ref="B13"/>
    <hyperlink r:id="rId13" ref="B14"/>
    <hyperlink r:id="rId14" ref="B15"/>
    <hyperlink r:id="rId15" ref="B16"/>
    <hyperlink r:id="rId16" ref="B17"/>
    <hyperlink r:id="rId17" ref="B18"/>
    <hyperlink r:id="rId18" ref="B19"/>
    <hyperlink r:id="rId19" ref="B20"/>
    <hyperlink r:id="rId20" ref="B21"/>
    <hyperlink r:id="rId21" ref="B22"/>
    <hyperlink r:id="rId22" ref="B23"/>
    <hyperlink r:id="rId23" ref="B25"/>
    <hyperlink r:id="rId24" ref="B26"/>
    <hyperlink r:id="rId25" ref="B27"/>
    <hyperlink r:id="rId26" ref="B28"/>
    <hyperlink r:id="rId27" ref="B29"/>
    <hyperlink r:id="rId28" ref="B30"/>
    <hyperlink r:id="rId29" ref="B31"/>
    <hyperlink r:id="rId30" ref="B32"/>
    <hyperlink r:id="rId31" ref="B33"/>
    <hyperlink r:id="rId32" ref="B34"/>
    <hyperlink r:id="rId33" ref="B35"/>
    <hyperlink r:id="rId34" ref="B36"/>
    <hyperlink r:id="rId35" ref="B37"/>
    <hyperlink r:id="rId36" ref="B38"/>
    <hyperlink r:id="rId37" ref="B39"/>
    <hyperlink r:id="rId38" ref="B40"/>
    <hyperlink r:id="rId39" ref="B41"/>
    <hyperlink r:id="rId40" ref="B43"/>
    <hyperlink r:id="rId41" ref="B46"/>
    <hyperlink r:id="rId42" ref="B47"/>
    <hyperlink r:id="rId43" ref="B51"/>
    <hyperlink r:id="rId44" ref="B52"/>
    <hyperlink r:id="rId45" ref="B53"/>
    <hyperlink r:id="rId46" ref="B54"/>
    <hyperlink r:id="rId47" ref="B55"/>
    <hyperlink r:id="rId48" ref="B56"/>
    <hyperlink r:id="rId49" ref="B58"/>
    <hyperlink r:id="rId50" ref="B60"/>
    <hyperlink r:id="rId51" ref="B61"/>
    <hyperlink r:id="rId52" ref="B62"/>
    <hyperlink r:id="rId53" ref="B63"/>
    <hyperlink r:id="rId54" ref="B65"/>
    <hyperlink r:id="rId55" ref="B68"/>
    <hyperlink r:id="rId56" ref="B71"/>
    <hyperlink r:id="rId57" ref="B75"/>
  </hyperlinks>
  <drawing r:id="rId58"/>
  <legacyDrawing r:id="rId59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37.0"/>
    <col customWidth="1" min="2" max="2" width="10.71"/>
    <col customWidth="1" min="3" max="3" width="8.43"/>
    <col customWidth="1" min="4" max="4" width="8.86"/>
    <col customWidth="1" min="5" max="5" width="7.86"/>
    <col customWidth="1" hidden="1" min="6" max="6" width="7.71"/>
    <col customWidth="1" hidden="1" min="7" max="7" width="15.57"/>
    <col customWidth="1" min="8" max="9" width="7.71"/>
    <col customWidth="1" min="10" max="10" width="6.43"/>
    <col customWidth="1" min="11" max="11" width="7.57"/>
    <col customWidth="1" hidden="1" min="12" max="12" width="8.71"/>
    <col customWidth="1" min="13" max="14" width="8.14"/>
    <col customWidth="1" hidden="1" min="15" max="15" width="6.71"/>
    <col customWidth="1" min="16" max="16" width="10.29"/>
    <col customWidth="1" min="17" max="17" width="5.57"/>
    <col customWidth="1" min="18" max="18" width="7.14"/>
    <col customWidth="1" min="19" max="19" width="8.43"/>
    <col customWidth="1" min="20" max="20" width="6.14"/>
    <col customWidth="1" hidden="1" min="21" max="21" width="9.29"/>
    <col customWidth="1" min="22" max="22" width="10.43"/>
    <col customWidth="1" min="23" max="23" width="7.57"/>
    <col customWidth="1" min="24" max="24" width="9.29"/>
    <col customWidth="1" min="25" max="25" width="7.43"/>
    <col customWidth="1" min="26" max="26" width="7.57"/>
    <col customWidth="1" hidden="1" min="27" max="27" width="8.29"/>
    <col customWidth="1" hidden="1" min="28" max="28" width="6.57"/>
    <col customWidth="1" min="29" max="29" width="9.86"/>
    <col customWidth="1" min="30" max="30" width="10.57"/>
    <col customWidth="1" min="31" max="31" width="7.29"/>
    <col customWidth="1" hidden="1" min="32" max="32" width="8.57"/>
    <col customWidth="1" min="33" max="33" width="6.86"/>
    <col customWidth="1" min="34" max="34" width="9.14"/>
    <col customWidth="1" hidden="1" min="35" max="35" width="6.86"/>
    <col customWidth="1" min="36" max="36" width="6.29"/>
    <col customWidth="1" min="37" max="37" width="8.86"/>
    <col customWidth="1" min="38" max="38" width="6.0"/>
    <col customWidth="1" min="39" max="39" width="6.14"/>
    <col customWidth="1" min="40" max="40" width="10.14"/>
    <col customWidth="1" min="41" max="41" width="6.29"/>
    <col customWidth="1" min="42" max="42" width="8.57"/>
    <col customWidth="1" min="43" max="43" width="8.14"/>
    <col customWidth="1" min="44" max="44" width="6.0"/>
    <col customWidth="1" min="45" max="45" width="6.86"/>
    <col customWidth="1" min="46" max="46" width="8.14"/>
    <col customWidth="1" min="47" max="47" width="11.0"/>
    <col customWidth="1" min="48" max="48" width="7.71"/>
    <col customWidth="1" min="49" max="49" width="8.43"/>
    <col customWidth="1" min="50" max="50" width="9.0"/>
    <col customWidth="1" hidden="1" min="51" max="51" width="0.43"/>
    <col customWidth="1" min="52" max="52" width="10.14"/>
    <col customWidth="1" min="53" max="53" width="6.71"/>
    <col customWidth="1" hidden="1" min="54" max="54" width="5.29"/>
    <col customWidth="1" min="55" max="55" width="8.86"/>
    <col customWidth="1" min="56" max="56" width="7.57"/>
    <col customWidth="1" min="57" max="57" width="7.86"/>
    <col customWidth="1" min="58" max="58" width="11.0"/>
    <col customWidth="1" hidden="1" min="59" max="59" width="7.29"/>
    <col customWidth="1" hidden="1" min="60" max="60" width="7.14"/>
    <col customWidth="1" min="61" max="61" width="7.86"/>
    <col customWidth="1" min="62" max="62" width="6.71"/>
    <col customWidth="1" min="63" max="63" width="7.0"/>
    <col customWidth="1" min="64" max="64" width="7.71"/>
    <col customWidth="1" hidden="1" min="65" max="65" width="6.14"/>
    <col customWidth="1" min="66" max="66" width="5.71"/>
    <col customWidth="1" hidden="1" min="67" max="67" width="7.29"/>
    <col customWidth="1" min="68" max="68" width="6.0"/>
    <col customWidth="1" hidden="1" min="69" max="69" width="7.14"/>
    <col customWidth="1" min="70" max="70" width="5.57"/>
    <col customWidth="1" hidden="1" min="71" max="71" width="7.43"/>
    <col customWidth="1" min="72" max="72" width="11.0"/>
    <col customWidth="1" min="73" max="73" width="9.0"/>
    <col customWidth="1" hidden="1" min="74" max="74" width="5.29"/>
    <col customWidth="1" min="75" max="75" width="7.43"/>
    <col customWidth="1" min="76" max="76" width="11.43"/>
    <col customWidth="1" hidden="1" min="77" max="77" width="10.14"/>
    <col customWidth="1" min="78" max="78" width="7.14"/>
    <col customWidth="1" min="79" max="79" width="10.14"/>
    <col customWidth="1" hidden="1" min="80" max="80" width="7.43"/>
    <col customWidth="1" min="81" max="81" width="7.29"/>
    <col customWidth="1" min="82" max="82" width="7.0"/>
    <col customWidth="1" min="83" max="83" width="8.0"/>
    <col customWidth="1" min="84" max="84" width="10.14"/>
    <col customWidth="1" min="85" max="85" width="7.43"/>
    <col customWidth="1" hidden="1" min="86" max="87" width="10.14"/>
    <col customWidth="1" min="88" max="88" width="10.14"/>
    <col customWidth="1" min="89" max="89" width="8.14"/>
    <col customWidth="1" hidden="1" min="90" max="90" width="10.14"/>
  </cols>
  <sheetData>
    <row r="1">
      <c r="A1" s="169" t="s">
        <v>130</v>
      </c>
      <c r="B1" s="170" t="s">
        <v>131</v>
      </c>
      <c r="C1" s="170" t="s">
        <v>132</v>
      </c>
      <c r="D1" s="170" t="s">
        <v>133</v>
      </c>
      <c r="E1" s="170" t="s">
        <v>134</v>
      </c>
      <c r="F1" s="170" t="s">
        <v>135</v>
      </c>
      <c r="G1" s="170" t="s">
        <v>136</v>
      </c>
      <c r="H1" s="170" t="s">
        <v>137</v>
      </c>
      <c r="I1" s="170" t="s">
        <v>138</v>
      </c>
      <c r="J1" s="170" t="s">
        <v>139</v>
      </c>
      <c r="K1" s="170" t="s">
        <v>140</v>
      </c>
      <c r="L1" s="170" t="s">
        <v>141</v>
      </c>
      <c r="M1" s="170" t="s">
        <v>142</v>
      </c>
      <c r="N1" s="170" t="s">
        <v>143</v>
      </c>
      <c r="O1" s="170" t="s">
        <v>144</v>
      </c>
      <c r="P1" s="170" t="s">
        <v>145</v>
      </c>
      <c r="Q1" s="170" t="s">
        <v>146</v>
      </c>
      <c r="R1" s="170" t="s">
        <v>147</v>
      </c>
      <c r="S1" s="170" t="s">
        <v>148</v>
      </c>
      <c r="T1" s="170" t="s">
        <v>149</v>
      </c>
      <c r="U1" s="170" t="s">
        <v>150</v>
      </c>
      <c r="V1" s="170" t="s">
        <v>151</v>
      </c>
      <c r="W1" s="170" t="s">
        <v>152</v>
      </c>
      <c r="X1" s="170" t="s">
        <v>153</v>
      </c>
      <c r="Y1" s="170" t="s">
        <v>154</v>
      </c>
      <c r="Z1" s="170" t="s">
        <v>155</v>
      </c>
      <c r="AA1" s="170" t="s">
        <v>156</v>
      </c>
      <c r="AB1" s="170" t="s">
        <v>157</v>
      </c>
      <c r="AC1" s="170" t="s">
        <v>158</v>
      </c>
      <c r="AD1" s="170" t="s">
        <v>159</v>
      </c>
      <c r="AE1" s="170" t="s">
        <v>160</v>
      </c>
      <c r="AF1" s="171" t="s">
        <v>161</v>
      </c>
      <c r="AG1" s="170" t="s">
        <v>162</v>
      </c>
      <c r="AH1" s="170" t="s">
        <v>163</v>
      </c>
      <c r="AI1" s="170" t="s">
        <v>164</v>
      </c>
      <c r="AJ1" s="170" t="s">
        <v>165</v>
      </c>
      <c r="AK1" s="170" t="s">
        <v>166</v>
      </c>
      <c r="AL1" s="170" t="s">
        <v>167</v>
      </c>
      <c r="AM1" s="170" t="s">
        <v>168</v>
      </c>
      <c r="AN1" s="170" t="s">
        <v>169</v>
      </c>
      <c r="AO1" s="170" t="s">
        <v>170</v>
      </c>
      <c r="AP1" s="170" t="s">
        <v>171</v>
      </c>
      <c r="AQ1" s="170" t="s">
        <v>172</v>
      </c>
      <c r="AR1" s="170" t="s">
        <v>173</v>
      </c>
      <c r="AS1" s="170" t="s">
        <v>174</v>
      </c>
      <c r="AT1" s="170" t="s">
        <v>175</v>
      </c>
      <c r="AU1" s="170" t="s">
        <v>176</v>
      </c>
      <c r="AV1" s="170" t="s">
        <v>177</v>
      </c>
      <c r="AW1" s="170" t="s">
        <v>178</v>
      </c>
      <c r="AX1" s="170" t="s">
        <v>179</v>
      </c>
      <c r="AY1" s="170" t="s">
        <v>180</v>
      </c>
      <c r="AZ1" s="170" t="s">
        <v>181</v>
      </c>
      <c r="BA1" s="170" t="s">
        <v>182</v>
      </c>
      <c r="BB1" s="170" t="s">
        <v>183</v>
      </c>
      <c r="BC1" s="170" t="s">
        <v>184</v>
      </c>
      <c r="BD1" s="170" t="s">
        <v>185</v>
      </c>
      <c r="BE1" s="170" t="s">
        <v>186</v>
      </c>
      <c r="BF1" s="170" t="s">
        <v>187</v>
      </c>
      <c r="BG1" s="170" t="s">
        <v>188</v>
      </c>
      <c r="BH1" s="171" t="s">
        <v>189</v>
      </c>
      <c r="BI1" s="170" t="s">
        <v>190</v>
      </c>
      <c r="BJ1" s="170" t="s">
        <v>191</v>
      </c>
      <c r="BK1" s="170" t="s">
        <v>192</v>
      </c>
      <c r="BL1" s="170" t="s">
        <v>193</v>
      </c>
      <c r="BM1" s="170" t="s">
        <v>194</v>
      </c>
      <c r="BN1" s="170" t="s">
        <v>195</v>
      </c>
      <c r="BO1" s="170" t="s">
        <v>196</v>
      </c>
      <c r="BP1" s="170" t="s">
        <v>197</v>
      </c>
      <c r="BQ1" s="170" t="s">
        <v>198</v>
      </c>
      <c r="BR1" s="170" t="s">
        <v>199</v>
      </c>
      <c r="BS1" s="170" t="s">
        <v>200</v>
      </c>
      <c r="BT1" s="171" t="s">
        <v>201</v>
      </c>
      <c r="BU1" s="170" t="s">
        <v>202</v>
      </c>
      <c r="BV1" s="170" t="s">
        <v>203</v>
      </c>
      <c r="BW1" s="170" t="s">
        <v>204</v>
      </c>
      <c r="BX1" s="170" t="s">
        <v>205</v>
      </c>
      <c r="BY1" s="170" t="s">
        <v>206</v>
      </c>
      <c r="BZ1" s="170" t="s">
        <v>207</v>
      </c>
      <c r="CA1" s="170" t="s">
        <v>208</v>
      </c>
      <c r="CB1" s="170" t="s">
        <v>209</v>
      </c>
      <c r="CC1" s="170" t="s">
        <v>210</v>
      </c>
      <c r="CD1" s="170" t="s">
        <v>211</v>
      </c>
      <c r="CE1" s="170" t="s">
        <v>212</v>
      </c>
      <c r="CF1" s="170" t="s">
        <v>213</v>
      </c>
      <c r="CG1" s="170" t="s">
        <v>214</v>
      </c>
      <c r="CH1" s="170" t="s">
        <v>215</v>
      </c>
      <c r="CI1" s="171" t="s">
        <v>216</v>
      </c>
      <c r="CJ1" s="170" t="s">
        <v>217</v>
      </c>
      <c r="CK1" s="170" t="s">
        <v>218</v>
      </c>
      <c r="CL1" s="170" t="s">
        <v>219</v>
      </c>
    </row>
    <row r="2">
      <c r="A2" s="172">
        <v>2014.0</v>
      </c>
      <c r="B2" s="173"/>
      <c r="C2" s="173"/>
      <c r="D2" s="173"/>
      <c r="E2" s="173"/>
      <c r="F2" s="173"/>
      <c r="G2" s="174"/>
      <c r="H2" s="174"/>
      <c r="I2" s="174"/>
      <c r="J2" s="174"/>
      <c r="K2" s="174"/>
      <c r="L2" s="174"/>
      <c r="M2" s="174"/>
      <c r="N2" s="174"/>
      <c r="O2" s="174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5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D2" s="173"/>
      <c r="BE2" s="173"/>
      <c r="BF2" s="173"/>
      <c r="BG2" s="173"/>
      <c r="BH2" s="173"/>
      <c r="BI2" s="173"/>
      <c r="BJ2" s="173"/>
      <c r="BK2" s="173"/>
      <c r="BL2" s="173"/>
      <c r="BM2" s="173"/>
      <c r="BN2" s="173"/>
      <c r="BO2" s="173"/>
      <c r="BP2" s="173"/>
      <c r="BQ2" s="173"/>
      <c r="BR2" s="173"/>
      <c r="BS2" s="173"/>
      <c r="BT2" s="173"/>
      <c r="BU2" s="173"/>
      <c r="BV2" s="173"/>
      <c r="BW2" s="173"/>
      <c r="BX2" s="173"/>
      <c r="BY2" s="173"/>
      <c r="BZ2" s="173"/>
      <c r="CA2" s="173"/>
      <c r="CB2" s="173"/>
      <c r="CC2" s="173"/>
      <c r="CD2" s="173"/>
      <c r="CE2" s="173"/>
      <c r="CF2" s="173"/>
      <c r="CG2" s="173"/>
      <c r="CH2" s="173"/>
      <c r="CI2" s="176"/>
      <c r="CJ2" s="173"/>
      <c r="CK2" s="173"/>
      <c r="CL2" s="173"/>
    </row>
    <row r="3">
      <c r="A3" s="177" t="s">
        <v>220</v>
      </c>
      <c r="B3" s="178"/>
      <c r="C3" s="178"/>
      <c r="D3" s="178"/>
      <c r="E3" s="178"/>
      <c r="F3" s="178"/>
      <c r="G3" s="179"/>
      <c r="H3" s="179"/>
      <c r="I3" s="179"/>
      <c r="J3" s="179"/>
      <c r="K3" s="179"/>
      <c r="L3" s="179"/>
      <c r="M3" s="179"/>
      <c r="N3" s="179"/>
      <c r="O3" s="179"/>
      <c r="P3" s="178"/>
      <c r="Q3" s="178"/>
      <c r="R3" s="178"/>
      <c r="S3" s="178"/>
      <c r="T3" s="178"/>
      <c r="U3" s="178"/>
      <c r="V3" s="180" t="s">
        <v>221</v>
      </c>
      <c r="W3" s="178"/>
      <c r="X3" s="178"/>
      <c r="Y3" s="178"/>
      <c r="Z3" s="178"/>
      <c r="AA3" s="178"/>
      <c r="AB3" s="178"/>
      <c r="AC3" s="178"/>
      <c r="AD3" s="178"/>
      <c r="AE3" s="178"/>
      <c r="AF3" s="181"/>
      <c r="AG3" s="178"/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178"/>
      <c r="BJ3" s="178"/>
      <c r="BK3" s="178"/>
      <c r="BL3" s="178"/>
      <c r="BM3" s="178"/>
      <c r="BN3" s="178"/>
      <c r="BO3" s="178"/>
      <c r="BP3" s="178"/>
      <c r="BQ3" s="178"/>
      <c r="BR3" s="178"/>
      <c r="BS3" s="178"/>
      <c r="BT3" s="178"/>
      <c r="BU3" s="178"/>
      <c r="BV3" s="178"/>
      <c r="BW3" s="178"/>
      <c r="BX3" s="178"/>
      <c r="BY3" s="178"/>
      <c r="BZ3" s="178"/>
      <c r="CA3" s="178"/>
      <c r="CB3" s="178"/>
      <c r="CC3" s="178"/>
      <c r="CD3" s="178"/>
      <c r="CE3" s="178"/>
      <c r="CF3" s="178"/>
      <c r="CG3" s="178"/>
      <c r="CH3" s="178"/>
      <c r="CI3" s="182"/>
      <c r="CJ3" s="178"/>
      <c r="CK3" s="178"/>
      <c r="CL3" s="178"/>
    </row>
    <row r="4">
      <c r="A4" s="183" t="s">
        <v>222</v>
      </c>
      <c r="B4" s="184"/>
      <c r="C4" s="184"/>
      <c r="D4" s="184"/>
      <c r="E4" s="184"/>
      <c r="F4" s="184"/>
      <c r="G4" s="185"/>
      <c r="H4" s="185"/>
      <c r="I4" s="185"/>
      <c r="J4" s="185"/>
      <c r="K4" s="185"/>
      <c r="L4" s="185"/>
      <c r="M4" s="185"/>
      <c r="N4" s="185"/>
      <c r="O4" s="185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6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7" t="s">
        <v>223</v>
      </c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7" t="s">
        <v>223</v>
      </c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8"/>
      <c r="CJ4" s="184"/>
      <c r="CK4" s="184"/>
      <c r="CL4" s="184"/>
    </row>
    <row r="5">
      <c r="A5" s="189" t="s">
        <v>224</v>
      </c>
      <c r="B5" s="178"/>
      <c r="C5" s="178"/>
      <c r="D5" s="178"/>
      <c r="E5" s="178"/>
      <c r="F5" s="178"/>
      <c r="G5" s="179"/>
      <c r="H5" s="179"/>
      <c r="I5" s="179"/>
      <c r="J5" s="179"/>
      <c r="K5" s="179"/>
      <c r="L5" s="179"/>
      <c r="M5" s="179"/>
      <c r="N5" s="179"/>
      <c r="O5" s="179"/>
      <c r="P5" s="178"/>
      <c r="Q5" s="178"/>
      <c r="R5" s="190" t="s">
        <v>225</v>
      </c>
      <c r="S5" s="184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81"/>
      <c r="AG5" s="178"/>
      <c r="AH5" s="178"/>
      <c r="AI5" s="178"/>
      <c r="AJ5" s="178"/>
      <c r="AK5" s="178"/>
      <c r="AL5" s="178"/>
      <c r="AM5" s="178"/>
      <c r="AN5" s="178"/>
      <c r="AO5" s="190" t="s">
        <v>225</v>
      </c>
      <c r="AP5" s="178"/>
      <c r="AQ5" s="178"/>
      <c r="AR5" s="178"/>
      <c r="AS5" s="178"/>
      <c r="AT5" s="178"/>
      <c r="AU5" s="178"/>
      <c r="AV5" s="178"/>
      <c r="AW5" s="178"/>
      <c r="AX5" s="178"/>
      <c r="AY5" s="178"/>
      <c r="AZ5" s="178"/>
      <c r="BA5" s="178"/>
      <c r="BB5" s="178"/>
      <c r="BC5" s="178"/>
      <c r="BD5" s="190" t="s">
        <v>225</v>
      </c>
      <c r="BE5" s="184"/>
      <c r="BF5" s="178"/>
      <c r="BG5" s="178"/>
      <c r="BH5" s="178"/>
      <c r="BI5" s="178"/>
      <c r="BJ5" s="178"/>
      <c r="BK5" s="178"/>
      <c r="BL5" s="178"/>
      <c r="BM5" s="178"/>
      <c r="BN5" s="178"/>
      <c r="BO5" s="178"/>
      <c r="BP5" s="178"/>
      <c r="BQ5" s="178"/>
      <c r="BR5" s="178"/>
      <c r="BS5" s="178"/>
      <c r="BT5" s="178"/>
      <c r="BU5" s="178"/>
      <c r="BV5" s="178"/>
      <c r="BW5" s="178"/>
      <c r="BX5" s="178"/>
      <c r="BY5" s="178"/>
      <c r="BZ5" s="178"/>
      <c r="CA5" s="178"/>
      <c r="CB5" s="178"/>
      <c r="CC5" s="178"/>
      <c r="CD5" s="178"/>
      <c r="CE5" s="190" t="s">
        <v>225</v>
      </c>
      <c r="CF5" s="178"/>
      <c r="CG5" s="178"/>
      <c r="CH5" s="178"/>
      <c r="CI5" s="182"/>
      <c r="CJ5" s="178"/>
      <c r="CK5" s="178"/>
      <c r="CL5" s="178"/>
    </row>
    <row r="6">
      <c r="A6" s="183" t="s">
        <v>226</v>
      </c>
      <c r="B6" s="184"/>
      <c r="C6" s="184"/>
      <c r="D6" s="184"/>
      <c r="E6" s="187" t="s">
        <v>223</v>
      </c>
      <c r="F6" s="184"/>
      <c r="G6" s="185"/>
      <c r="H6" s="185"/>
      <c r="I6" s="187" t="s">
        <v>223</v>
      </c>
      <c r="J6" s="185"/>
      <c r="K6" s="191" t="s">
        <v>223</v>
      </c>
      <c r="L6" s="185"/>
      <c r="M6" s="185"/>
      <c r="N6" s="185"/>
      <c r="O6" s="185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4"/>
      <c r="AB6" s="184"/>
      <c r="AC6" s="187" t="s">
        <v>223</v>
      </c>
      <c r="AD6" s="187" t="s">
        <v>223</v>
      </c>
      <c r="AE6" s="184"/>
      <c r="AF6" s="186"/>
      <c r="AG6" s="187" t="s">
        <v>223</v>
      </c>
      <c r="AH6" s="184"/>
      <c r="AI6" s="184"/>
      <c r="AJ6" s="184"/>
      <c r="AK6" s="184"/>
      <c r="AL6" s="187" t="s">
        <v>223</v>
      </c>
      <c r="AM6" s="184"/>
      <c r="AN6" s="184"/>
      <c r="AO6" s="184"/>
      <c r="AP6" s="184"/>
      <c r="AQ6" s="184"/>
      <c r="AR6" s="184"/>
      <c r="AS6" s="184"/>
      <c r="AT6" s="187" t="s">
        <v>223</v>
      </c>
      <c r="AU6" s="184"/>
      <c r="AV6" s="187" t="s">
        <v>223</v>
      </c>
      <c r="AW6" s="187" t="s">
        <v>223</v>
      </c>
      <c r="AX6" s="184"/>
      <c r="AY6" s="184"/>
      <c r="AZ6" s="187" t="s">
        <v>223</v>
      </c>
      <c r="BA6" s="184"/>
      <c r="BB6" s="184"/>
      <c r="BC6" s="184"/>
      <c r="BD6" s="184"/>
      <c r="BE6" s="184"/>
      <c r="BF6" s="187" t="s">
        <v>223</v>
      </c>
      <c r="BG6" s="184"/>
      <c r="BH6" s="184"/>
      <c r="BI6" s="184"/>
      <c r="BJ6" s="184"/>
      <c r="BK6" s="184"/>
      <c r="BL6" s="187" t="s">
        <v>223</v>
      </c>
      <c r="BM6" s="184"/>
      <c r="BN6" s="187" t="s">
        <v>223</v>
      </c>
      <c r="BO6" s="184"/>
      <c r="BP6" s="184"/>
      <c r="BQ6" s="184"/>
      <c r="BR6" s="187" t="s">
        <v>223</v>
      </c>
      <c r="BS6" s="184"/>
      <c r="BT6" s="187" t="s">
        <v>223</v>
      </c>
      <c r="BU6" s="184"/>
      <c r="BV6" s="184"/>
      <c r="BW6" s="184"/>
      <c r="BX6" s="187" t="s">
        <v>227</v>
      </c>
      <c r="BY6" s="184"/>
      <c r="BZ6" s="187" t="s">
        <v>223</v>
      </c>
      <c r="CA6" s="187" t="s">
        <v>223</v>
      </c>
      <c r="CB6" s="184"/>
      <c r="CC6" s="184"/>
      <c r="CD6" s="184"/>
      <c r="CE6" s="184"/>
      <c r="CF6" s="187" t="s">
        <v>223</v>
      </c>
      <c r="CG6" s="184"/>
      <c r="CH6" s="184"/>
      <c r="CI6" s="188"/>
      <c r="CJ6" s="184"/>
      <c r="CK6" s="184"/>
      <c r="CL6" s="184"/>
    </row>
    <row r="7">
      <c r="A7" s="189" t="s">
        <v>228</v>
      </c>
      <c r="B7" s="178"/>
      <c r="C7" s="178"/>
      <c r="D7" s="178"/>
      <c r="E7" s="178"/>
      <c r="F7" s="178"/>
      <c r="G7" s="179"/>
      <c r="H7" s="179"/>
      <c r="I7" s="179"/>
      <c r="J7" s="179"/>
      <c r="K7" s="179"/>
      <c r="L7" s="179"/>
      <c r="M7" s="179"/>
      <c r="N7" s="179"/>
      <c r="O7" s="179"/>
      <c r="P7" s="178"/>
      <c r="Q7" s="178"/>
      <c r="R7" s="178"/>
      <c r="S7" s="178"/>
      <c r="T7" s="178"/>
      <c r="U7" s="178"/>
      <c r="V7" s="178"/>
      <c r="W7" s="178"/>
      <c r="X7" s="178"/>
      <c r="Y7" s="178"/>
      <c r="Z7" s="178"/>
      <c r="AA7" s="178"/>
      <c r="AB7" s="178"/>
      <c r="AC7" s="178"/>
      <c r="AD7" s="178"/>
      <c r="AE7" s="178"/>
      <c r="AF7" s="181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78"/>
      <c r="AW7" s="177" t="s">
        <v>229</v>
      </c>
      <c r="AX7" s="178"/>
      <c r="AY7" s="178"/>
      <c r="AZ7" s="178"/>
      <c r="BA7" s="178"/>
      <c r="BB7" s="178"/>
      <c r="BC7" s="178"/>
      <c r="BD7" s="178"/>
      <c r="BE7" s="178"/>
      <c r="BF7" s="178"/>
      <c r="BG7" s="178"/>
      <c r="BH7" s="178"/>
      <c r="BI7" s="178"/>
      <c r="BJ7" s="178"/>
      <c r="BK7" s="178"/>
      <c r="BL7" s="178"/>
      <c r="BM7" s="178"/>
      <c r="BN7" s="178"/>
      <c r="BO7" s="178"/>
      <c r="BP7" s="178"/>
      <c r="BQ7" s="178"/>
      <c r="BR7" s="178"/>
      <c r="BS7" s="178"/>
      <c r="BT7" s="178"/>
      <c r="BU7" s="178"/>
      <c r="BV7" s="178"/>
      <c r="BW7" s="178"/>
      <c r="BX7" s="178"/>
      <c r="BY7" s="178"/>
      <c r="BZ7" s="178"/>
      <c r="CA7" s="178"/>
      <c r="CB7" s="178"/>
      <c r="CC7" s="178"/>
      <c r="CD7" s="178"/>
      <c r="CE7" s="178"/>
      <c r="CF7" s="178"/>
      <c r="CG7" s="178"/>
      <c r="CH7" s="178"/>
      <c r="CI7" s="182"/>
      <c r="CJ7" s="178"/>
      <c r="CK7" s="178"/>
      <c r="CL7" s="178"/>
    </row>
    <row r="8">
      <c r="A8" s="183" t="s">
        <v>230</v>
      </c>
      <c r="B8" s="184"/>
      <c r="C8" s="184"/>
      <c r="D8" s="184"/>
      <c r="E8" s="184"/>
      <c r="F8" s="184"/>
      <c r="G8" s="185"/>
      <c r="H8" s="185"/>
      <c r="I8" s="185"/>
      <c r="J8" s="185"/>
      <c r="K8" s="185"/>
      <c r="L8" s="185"/>
      <c r="M8" s="185"/>
      <c r="N8" s="185"/>
      <c r="O8" s="185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6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7" t="s">
        <v>223</v>
      </c>
      <c r="BE8" s="184"/>
      <c r="BF8" s="184"/>
      <c r="BG8" s="184"/>
      <c r="BH8" s="184"/>
      <c r="BI8" s="184"/>
      <c r="BJ8" s="187" t="s">
        <v>223</v>
      </c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8"/>
      <c r="CJ8" s="184"/>
      <c r="CK8" s="184"/>
      <c r="CL8" s="184"/>
    </row>
    <row r="9">
      <c r="A9" s="189" t="s">
        <v>231</v>
      </c>
      <c r="B9" s="178"/>
      <c r="C9" s="178"/>
      <c r="D9" s="178"/>
      <c r="E9" s="178"/>
      <c r="F9" s="178"/>
      <c r="G9" s="179"/>
      <c r="H9" s="179"/>
      <c r="I9" s="179"/>
      <c r="J9" s="179"/>
      <c r="K9" s="179"/>
      <c r="L9" s="179"/>
      <c r="M9" s="179"/>
      <c r="N9" s="179"/>
      <c r="O9" s="179"/>
      <c r="P9" s="178"/>
      <c r="Q9" s="178"/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81"/>
      <c r="AG9" s="177" t="s">
        <v>223</v>
      </c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7" t="s">
        <v>223</v>
      </c>
      <c r="BO9" s="178"/>
      <c r="BP9" s="178"/>
      <c r="BQ9" s="178"/>
      <c r="BR9" s="178"/>
      <c r="BS9" s="178"/>
      <c r="BT9" s="178"/>
      <c r="BU9" s="178"/>
      <c r="BV9" s="178"/>
      <c r="BW9" s="178"/>
      <c r="BX9" s="177" t="s">
        <v>227</v>
      </c>
      <c r="BY9" s="178"/>
      <c r="BZ9" s="178"/>
      <c r="CA9" s="178"/>
      <c r="CB9" s="178"/>
      <c r="CC9" s="178"/>
      <c r="CD9" s="178"/>
      <c r="CE9" s="178"/>
      <c r="CF9" s="177" t="s">
        <v>223</v>
      </c>
      <c r="CG9" s="178"/>
      <c r="CH9" s="178"/>
      <c r="CI9" s="182"/>
      <c r="CJ9" s="177" t="s">
        <v>223</v>
      </c>
      <c r="CK9" s="178"/>
      <c r="CL9" s="178"/>
    </row>
    <row r="10">
      <c r="A10" s="183" t="s">
        <v>232</v>
      </c>
      <c r="B10" s="184"/>
      <c r="C10" s="187" t="s">
        <v>223</v>
      </c>
      <c r="D10" s="184"/>
      <c r="E10" s="184"/>
      <c r="F10" s="184"/>
      <c r="G10" s="185"/>
      <c r="H10" s="185"/>
      <c r="I10" s="185"/>
      <c r="J10" s="185"/>
      <c r="K10" s="185"/>
      <c r="L10" s="185"/>
      <c r="M10" s="191" t="s">
        <v>223</v>
      </c>
      <c r="N10" s="185"/>
      <c r="O10" s="185"/>
      <c r="P10" s="184"/>
      <c r="Q10" s="184"/>
      <c r="R10" s="184"/>
      <c r="S10" s="184"/>
      <c r="T10" s="184"/>
      <c r="U10" s="184"/>
      <c r="V10" s="187" t="s">
        <v>223</v>
      </c>
      <c r="W10" s="184"/>
      <c r="X10" s="184"/>
      <c r="Y10" s="184"/>
      <c r="Z10" s="184"/>
      <c r="AA10" s="184"/>
      <c r="AB10" s="184"/>
      <c r="AC10" s="184"/>
      <c r="AD10" s="184"/>
      <c r="AE10" s="184"/>
      <c r="AF10" s="186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7" t="s">
        <v>223</v>
      </c>
      <c r="AU10" s="184"/>
      <c r="AV10" s="184"/>
      <c r="AW10" s="187" t="s">
        <v>223</v>
      </c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7" t="s">
        <v>223</v>
      </c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8"/>
      <c r="CJ10" s="184"/>
      <c r="CK10" s="184"/>
      <c r="CL10" s="184"/>
    </row>
    <row r="11">
      <c r="A11" s="177" t="s">
        <v>233</v>
      </c>
      <c r="B11" s="178"/>
      <c r="C11" s="178"/>
      <c r="D11" s="178"/>
      <c r="E11" s="178"/>
      <c r="F11" s="178"/>
      <c r="G11" s="179"/>
      <c r="H11" s="179"/>
      <c r="I11" s="179"/>
      <c r="J11" s="179"/>
      <c r="K11" s="179"/>
      <c r="L11" s="179"/>
      <c r="M11" s="179"/>
      <c r="N11" s="192" t="s">
        <v>223</v>
      </c>
      <c r="O11" s="179"/>
      <c r="P11" s="178"/>
      <c r="Q11" s="178"/>
      <c r="R11" s="178"/>
      <c r="S11" s="178"/>
      <c r="T11" s="177" t="s">
        <v>223</v>
      </c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81"/>
      <c r="AG11" s="178"/>
      <c r="AH11" s="178"/>
      <c r="AI11" s="178"/>
      <c r="AJ11" s="178"/>
      <c r="AK11" s="177" t="s">
        <v>223</v>
      </c>
      <c r="AL11" s="178"/>
      <c r="AM11" s="178"/>
      <c r="AN11" s="178"/>
      <c r="AO11" s="178"/>
      <c r="AP11" s="178"/>
      <c r="AQ11" s="178"/>
      <c r="AR11" s="178"/>
      <c r="AS11" s="178"/>
      <c r="AT11" s="178"/>
      <c r="AU11" s="178"/>
      <c r="AV11" s="178"/>
      <c r="AW11" s="178"/>
      <c r="AX11" s="178"/>
      <c r="AY11" s="178"/>
      <c r="AZ11" s="178"/>
      <c r="BA11" s="178"/>
      <c r="BB11" s="178"/>
      <c r="BC11" s="178"/>
      <c r="BD11" s="178"/>
      <c r="BE11" s="178"/>
      <c r="BF11" s="178"/>
      <c r="BG11" s="178"/>
      <c r="BH11" s="178"/>
      <c r="BI11" s="177" t="s">
        <v>223</v>
      </c>
      <c r="BJ11" s="178"/>
      <c r="BK11" s="178"/>
      <c r="BL11" s="178"/>
      <c r="BM11" s="178"/>
      <c r="BN11" s="178"/>
      <c r="BO11" s="178"/>
      <c r="BP11" s="178"/>
      <c r="BQ11" s="178"/>
      <c r="BR11" s="178"/>
      <c r="BS11" s="178"/>
      <c r="BT11" s="178"/>
      <c r="BU11" s="177" t="s">
        <v>223</v>
      </c>
      <c r="BV11" s="178"/>
      <c r="BW11" s="178"/>
      <c r="BX11" s="178"/>
      <c r="BY11" s="178"/>
      <c r="BZ11" s="178"/>
      <c r="CA11" s="178"/>
      <c r="CB11" s="178"/>
      <c r="CC11" s="178"/>
      <c r="CD11" s="177" t="s">
        <v>223</v>
      </c>
      <c r="CE11" s="178"/>
      <c r="CF11" s="178"/>
      <c r="CG11" s="178"/>
      <c r="CH11" s="178"/>
      <c r="CI11" s="182"/>
      <c r="CJ11" s="178"/>
      <c r="CK11" s="178"/>
      <c r="CL11" s="178"/>
    </row>
    <row r="12">
      <c r="A12" s="187" t="s">
        <v>234</v>
      </c>
      <c r="B12" s="184"/>
      <c r="C12" s="184"/>
      <c r="D12" s="184"/>
      <c r="E12" s="184"/>
      <c r="F12" s="184"/>
      <c r="G12" s="185"/>
      <c r="H12" s="185"/>
      <c r="I12" s="185"/>
      <c r="J12" s="185"/>
      <c r="K12" s="191" t="s">
        <v>223</v>
      </c>
      <c r="L12" s="185"/>
      <c r="M12" s="185"/>
      <c r="N12" s="185"/>
      <c r="O12" s="185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6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7" t="s">
        <v>223</v>
      </c>
      <c r="AU12" s="184"/>
      <c r="AV12" s="184"/>
      <c r="AW12" s="187" t="s">
        <v>223</v>
      </c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7" t="s">
        <v>223</v>
      </c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8"/>
      <c r="CJ12" s="184"/>
      <c r="CK12" s="184"/>
      <c r="CL12" s="184"/>
    </row>
    <row r="13">
      <c r="A13" s="189" t="s">
        <v>235</v>
      </c>
      <c r="B13" s="178"/>
      <c r="C13" s="178"/>
      <c r="D13" s="178"/>
      <c r="E13" s="178"/>
      <c r="F13" s="178"/>
      <c r="G13" s="179"/>
      <c r="H13" s="179"/>
      <c r="I13" s="179"/>
      <c r="J13" s="179"/>
      <c r="K13" s="179"/>
      <c r="L13" s="179"/>
      <c r="M13" s="179"/>
      <c r="N13" s="179"/>
      <c r="O13" s="179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81"/>
      <c r="AG13" s="178"/>
      <c r="AH13" s="178"/>
      <c r="AI13" s="178"/>
      <c r="AJ13" s="178"/>
      <c r="AK13" s="178"/>
      <c r="AL13" s="178"/>
      <c r="AM13" s="177" t="s">
        <v>223</v>
      </c>
      <c r="AN13" s="178"/>
      <c r="AO13" s="178"/>
      <c r="AP13" s="177" t="s">
        <v>223</v>
      </c>
      <c r="AQ13" s="178"/>
      <c r="AR13" s="178"/>
      <c r="AS13" s="178"/>
      <c r="AT13" s="178"/>
      <c r="AU13" s="178"/>
      <c r="AV13" s="178"/>
      <c r="AW13" s="178"/>
      <c r="AX13" s="178"/>
      <c r="AY13" s="178"/>
      <c r="AZ13" s="178"/>
      <c r="BA13" s="178"/>
      <c r="BB13" s="178"/>
      <c r="BC13" s="178"/>
      <c r="BD13" s="178"/>
      <c r="BE13" s="178"/>
      <c r="BF13" s="178"/>
      <c r="BG13" s="178"/>
      <c r="BH13" s="178"/>
      <c r="BI13" s="178"/>
      <c r="BJ13" s="178"/>
      <c r="BK13" s="178"/>
      <c r="BL13" s="178"/>
      <c r="BM13" s="178"/>
      <c r="BN13" s="178"/>
      <c r="BO13" s="178"/>
      <c r="BP13" s="178"/>
      <c r="BQ13" s="178"/>
      <c r="BR13" s="178"/>
      <c r="BS13" s="178"/>
      <c r="BT13" s="178"/>
      <c r="BU13" s="178"/>
      <c r="BV13" s="178"/>
      <c r="BW13" s="178"/>
      <c r="BX13" s="177" t="s">
        <v>223</v>
      </c>
      <c r="BY13" s="178"/>
      <c r="BZ13" s="178"/>
      <c r="CA13" s="178"/>
      <c r="CB13" s="178"/>
      <c r="CC13" s="178"/>
      <c r="CD13" s="178"/>
      <c r="CE13" s="178"/>
      <c r="CF13" s="178"/>
      <c r="CG13" s="178"/>
      <c r="CH13" s="178"/>
      <c r="CI13" s="182"/>
      <c r="CJ13" s="178"/>
      <c r="CK13" s="178"/>
      <c r="CL13" s="178"/>
    </row>
    <row r="14">
      <c r="A14" s="183" t="s">
        <v>236</v>
      </c>
      <c r="B14" s="184"/>
      <c r="C14" s="184"/>
      <c r="D14" s="184"/>
      <c r="E14" s="184"/>
      <c r="F14" s="184"/>
      <c r="G14" s="185"/>
      <c r="H14" s="191" t="s">
        <v>223</v>
      </c>
      <c r="I14" s="185"/>
      <c r="J14" s="185"/>
      <c r="K14" s="185"/>
      <c r="L14" s="185"/>
      <c r="M14" s="185"/>
      <c r="N14" s="185"/>
      <c r="O14" s="185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7" t="s">
        <v>223</v>
      </c>
      <c r="AA14" s="184"/>
      <c r="AB14" s="184"/>
      <c r="AC14" s="184"/>
      <c r="AD14" s="184"/>
      <c r="AE14" s="184"/>
      <c r="AF14" s="186"/>
      <c r="AG14" s="187" t="s">
        <v>223</v>
      </c>
      <c r="AH14" s="184"/>
      <c r="AI14" s="184"/>
      <c r="AJ14" s="184"/>
      <c r="AK14" s="184"/>
      <c r="AL14" s="184"/>
      <c r="AM14" s="184"/>
      <c r="AN14" s="187" t="s">
        <v>223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7" t="s">
        <v>223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7" t="s">
        <v>223</v>
      </c>
      <c r="BX14" s="184"/>
      <c r="BY14" s="184"/>
      <c r="BZ14" s="184"/>
      <c r="CA14" s="184"/>
      <c r="CB14" s="184"/>
      <c r="CC14" s="184"/>
      <c r="CD14" s="184"/>
      <c r="CE14" s="184"/>
      <c r="CF14" s="187" t="s">
        <v>223</v>
      </c>
      <c r="CG14" s="184"/>
      <c r="CH14" s="184"/>
      <c r="CI14" s="188"/>
      <c r="CJ14" s="184"/>
      <c r="CK14" s="184"/>
      <c r="CL14" s="184"/>
    </row>
    <row r="15">
      <c r="A15" s="189" t="s">
        <v>237</v>
      </c>
      <c r="B15" s="178"/>
      <c r="C15" s="178"/>
      <c r="D15" s="178"/>
      <c r="E15" s="178"/>
      <c r="F15" s="178"/>
      <c r="G15" s="179"/>
      <c r="H15" s="179"/>
      <c r="I15" s="179"/>
      <c r="J15" s="179"/>
      <c r="K15" s="179"/>
      <c r="L15" s="179"/>
      <c r="M15" s="179"/>
      <c r="N15" s="179"/>
      <c r="O15" s="179"/>
      <c r="P15" s="178"/>
      <c r="Q15" s="178"/>
      <c r="R15" s="178"/>
      <c r="S15" s="178"/>
      <c r="T15" s="178"/>
      <c r="U15" s="178"/>
      <c r="V15" s="177" t="s">
        <v>223</v>
      </c>
      <c r="W15" s="178"/>
      <c r="X15" s="177" t="s">
        <v>223</v>
      </c>
      <c r="Y15" s="178"/>
      <c r="Z15" s="178"/>
      <c r="AA15" s="178"/>
      <c r="AB15" s="178"/>
      <c r="AC15" s="178"/>
      <c r="AD15" s="178"/>
      <c r="AE15" s="178"/>
      <c r="AF15" s="181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  <c r="AW15" s="177" t="s">
        <v>223</v>
      </c>
      <c r="AX15" s="178"/>
      <c r="AY15" s="178"/>
      <c r="AZ15" s="178"/>
      <c r="BA15" s="178"/>
      <c r="BB15" s="178"/>
      <c r="BC15" s="178"/>
      <c r="BD15" s="178"/>
      <c r="BE15" s="178"/>
      <c r="BF15" s="178"/>
      <c r="BG15" s="178"/>
      <c r="BH15" s="178"/>
      <c r="BI15" s="178"/>
      <c r="BJ15" s="178"/>
      <c r="BK15" s="178"/>
      <c r="BL15" s="178"/>
      <c r="BM15" s="178"/>
      <c r="BN15" s="178"/>
      <c r="BO15" s="178"/>
      <c r="BP15" s="178"/>
      <c r="BQ15" s="178"/>
      <c r="BR15" s="178"/>
      <c r="BS15" s="178"/>
      <c r="BT15" s="178"/>
      <c r="BU15" s="178"/>
      <c r="BV15" s="178"/>
      <c r="BW15" s="178"/>
      <c r="BX15" s="178"/>
      <c r="BY15" s="178"/>
      <c r="BZ15" s="178"/>
      <c r="CA15" s="178"/>
      <c r="CB15" s="178"/>
      <c r="CC15" s="177" t="s">
        <v>223</v>
      </c>
      <c r="CD15" s="178"/>
      <c r="CE15" s="178"/>
      <c r="CF15" s="178"/>
      <c r="CG15" s="178"/>
      <c r="CH15" s="178"/>
      <c r="CI15" s="182"/>
      <c r="CJ15" s="178"/>
      <c r="CK15" s="178"/>
      <c r="CL15" s="178"/>
    </row>
    <row r="16">
      <c r="A16" s="183" t="s">
        <v>238</v>
      </c>
      <c r="B16" s="184"/>
      <c r="C16" s="184"/>
      <c r="D16" s="184"/>
      <c r="E16" s="184"/>
      <c r="F16" s="184"/>
      <c r="G16" s="185"/>
      <c r="H16" s="185"/>
      <c r="I16" s="185"/>
      <c r="J16" s="185"/>
      <c r="K16" s="185"/>
      <c r="L16" s="185"/>
      <c r="M16" s="185"/>
      <c r="N16" s="185"/>
      <c r="O16" s="185"/>
      <c r="P16" s="184"/>
      <c r="Q16" s="184"/>
      <c r="R16" s="184"/>
      <c r="S16" s="184"/>
      <c r="T16" s="184"/>
      <c r="U16" s="184"/>
      <c r="V16" s="184"/>
      <c r="W16" s="187" t="s">
        <v>223</v>
      </c>
      <c r="X16" s="184"/>
      <c r="Y16" s="184"/>
      <c r="Z16" s="184"/>
      <c r="AA16" s="184"/>
      <c r="AB16" s="184"/>
      <c r="AC16" s="184"/>
      <c r="AD16" s="184"/>
      <c r="AE16" s="184"/>
      <c r="AF16" s="186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7" t="s">
        <v>223</v>
      </c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7" t="s">
        <v>223</v>
      </c>
      <c r="CD16" s="184"/>
      <c r="CE16" s="184"/>
      <c r="CF16" s="184"/>
      <c r="CG16" s="184"/>
      <c r="CH16" s="184"/>
      <c r="CI16" s="188"/>
      <c r="CJ16" s="184"/>
      <c r="CK16" s="187" t="s">
        <v>223</v>
      </c>
      <c r="CL16" s="184"/>
    </row>
    <row r="17">
      <c r="A17" s="189" t="s">
        <v>239</v>
      </c>
      <c r="B17" s="178"/>
      <c r="C17" s="178"/>
      <c r="D17" s="178"/>
      <c r="E17" s="178"/>
      <c r="F17" s="178"/>
      <c r="G17" s="179"/>
      <c r="H17" s="179"/>
      <c r="I17" s="179"/>
      <c r="J17" s="192" t="s">
        <v>223</v>
      </c>
      <c r="K17" s="179"/>
      <c r="L17" s="179"/>
      <c r="M17" s="179"/>
      <c r="N17" s="179"/>
      <c r="O17" s="179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81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7" t="s">
        <v>223</v>
      </c>
      <c r="AS17" s="178"/>
      <c r="AT17" s="178"/>
      <c r="AU17" s="178"/>
      <c r="AV17" s="178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78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82"/>
      <c r="CJ17" s="178"/>
      <c r="CK17" s="178"/>
      <c r="CL17" s="178"/>
    </row>
    <row r="18">
      <c r="A18" s="193" t="s">
        <v>52</v>
      </c>
      <c r="B18" s="194"/>
      <c r="C18" s="194"/>
      <c r="D18" s="194"/>
      <c r="E18" s="194"/>
      <c r="F18" s="194"/>
      <c r="G18" s="195"/>
      <c r="H18" s="195"/>
      <c r="I18" s="195"/>
      <c r="J18" s="195"/>
      <c r="K18" s="195"/>
      <c r="L18" s="195"/>
      <c r="M18" s="195"/>
      <c r="N18" s="195"/>
      <c r="O18" s="195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6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7"/>
      <c r="CJ18" s="194"/>
      <c r="CK18" s="194"/>
      <c r="CL18" s="194"/>
    </row>
    <row r="19">
      <c r="A19" s="198" t="s">
        <v>240</v>
      </c>
      <c r="B19" s="199" t="s">
        <v>223</v>
      </c>
      <c r="C19" s="200"/>
      <c r="D19" s="200"/>
      <c r="E19" s="200"/>
      <c r="F19" s="200"/>
      <c r="G19" s="201"/>
      <c r="H19" s="201"/>
      <c r="I19" s="202" t="s">
        <v>223</v>
      </c>
      <c r="J19" s="201"/>
      <c r="K19" s="202" t="s">
        <v>223</v>
      </c>
      <c r="L19" s="201"/>
      <c r="M19" s="201"/>
      <c r="N19" s="201"/>
      <c r="O19" s="201"/>
      <c r="P19" s="203" t="s">
        <v>225</v>
      </c>
      <c r="Q19" s="199" t="s">
        <v>223</v>
      </c>
      <c r="R19" s="199" t="s">
        <v>223</v>
      </c>
      <c r="S19" s="199" t="s">
        <v>223</v>
      </c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199" t="s">
        <v>223</v>
      </c>
      <c r="AF19" s="204"/>
      <c r="AG19" s="199" t="s">
        <v>223</v>
      </c>
      <c r="AH19" s="200"/>
      <c r="AI19" s="200"/>
      <c r="AJ19" s="200"/>
      <c r="AK19" s="200"/>
      <c r="AL19" s="199" t="s">
        <v>223</v>
      </c>
      <c r="AM19" s="200"/>
      <c r="AN19" s="200"/>
      <c r="AO19" s="200"/>
      <c r="AP19" s="199" t="s">
        <v>223</v>
      </c>
      <c r="AQ19" s="199" t="s">
        <v>223</v>
      </c>
      <c r="AR19" s="200"/>
      <c r="AS19" s="200"/>
      <c r="AT19" s="200"/>
      <c r="AU19" s="200"/>
      <c r="AV19" s="200"/>
      <c r="AW19" s="199" t="s">
        <v>223</v>
      </c>
      <c r="AX19" s="200"/>
      <c r="AY19" s="200"/>
      <c r="AZ19" s="200"/>
      <c r="BA19" s="200"/>
      <c r="BB19" s="200"/>
      <c r="BC19" s="200"/>
      <c r="BD19" s="200"/>
      <c r="BE19" s="200"/>
      <c r="BF19" s="199" t="s">
        <v>223</v>
      </c>
      <c r="BG19" s="200"/>
      <c r="BH19" s="200"/>
      <c r="BI19" s="200"/>
      <c r="BJ19" s="199" t="s">
        <v>223</v>
      </c>
      <c r="BK19" s="200"/>
      <c r="BL19" s="200"/>
      <c r="BM19" s="200"/>
      <c r="BN19" s="200"/>
      <c r="BO19" s="200"/>
      <c r="BP19" s="200"/>
      <c r="BQ19" s="200"/>
      <c r="BR19" s="199" t="s">
        <v>223</v>
      </c>
      <c r="BS19" s="200"/>
      <c r="BT19" s="200"/>
      <c r="BU19" s="200"/>
      <c r="BV19" s="200"/>
      <c r="BW19" s="199" t="s">
        <v>223</v>
      </c>
      <c r="BX19" s="199" t="s">
        <v>223</v>
      </c>
      <c r="BY19" s="200"/>
      <c r="BZ19" s="200"/>
      <c r="CA19" s="200"/>
      <c r="CB19" s="200"/>
      <c r="CC19" s="200"/>
      <c r="CD19" s="200"/>
      <c r="CE19" s="200"/>
      <c r="CF19" s="200"/>
      <c r="CG19" s="200"/>
      <c r="CH19" s="200"/>
      <c r="CI19" s="205"/>
      <c r="CJ19" s="200"/>
      <c r="CK19" s="200"/>
      <c r="CL19" s="200"/>
    </row>
    <row r="20">
      <c r="A20" s="206" t="s">
        <v>241</v>
      </c>
      <c r="B20" s="207"/>
      <c r="C20" s="207"/>
      <c r="D20" s="207"/>
      <c r="E20" s="207"/>
      <c r="F20" s="207"/>
      <c r="G20" s="208"/>
      <c r="H20" s="208"/>
      <c r="I20" s="208"/>
      <c r="J20" s="208"/>
      <c r="K20" s="208"/>
      <c r="L20" s="208"/>
      <c r="M20" s="208"/>
      <c r="N20" s="208"/>
      <c r="O20" s="208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207"/>
      <c r="AD20" s="207"/>
      <c r="AE20" s="207"/>
      <c r="AF20" s="209"/>
      <c r="AG20" s="207"/>
      <c r="AH20" s="207"/>
      <c r="AI20" s="207"/>
      <c r="AJ20" s="207"/>
      <c r="AK20" s="207"/>
      <c r="AL20" s="207"/>
      <c r="AM20" s="207"/>
      <c r="AN20" s="207"/>
      <c r="AO20" s="207"/>
      <c r="AP20" s="207"/>
      <c r="AQ20" s="207"/>
      <c r="AR20" s="207"/>
      <c r="AS20" s="207"/>
      <c r="AT20" s="210" t="s">
        <v>223</v>
      </c>
      <c r="AU20" s="207"/>
      <c r="AV20" s="207"/>
      <c r="AW20" s="207"/>
      <c r="AX20" s="207"/>
      <c r="AY20" s="207"/>
      <c r="AZ20" s="207"/>
      <c r="BA20" s="207"/>
      <c r="BB20" s="207"/>
      <c r="BC20" s="207"/>
      <c r="BD20" s="207"/>
      <c r="BE20" s="210" t="s">
        <v>223</v>
      </c>
      <c r="BF20" s="207"/>
      <c r="BG20" s="207"/>
      <c r="BH20" s="207"/>
      <c r="BI20" s="207"/>
      <c r="BJ20" s="207"/>
      <c r="BK20" s="207"/>
      <c r="BL20" s="207"/>
      <c r="BM20" s="207"/>
      <c r="BN20" s="210" t="s">
        <v>223</v>
      </c>
      <c r="BO20" s="207"/>
      <c r="BP20" s="207"/>
      <c r="BQ20" s="207"/>
      <c r="BR20" s="207"/>
      <c r="BS20" s="207"/>
      <c r="BT20" s="207"/>
      <c r="BU20" s="207"/>
      <c r="BV20" s="207"/>
      <c r="BW20" s="207"/>
      <c r="BX20" s="207"/>
      <c r="BY20" s="207"/>
      <c r="BZ20" s="207"/>
      <c r="CA20" s="207"/>
      <c r="CB20" s="207"/>
      <c r="CC20" s="207"/>
      <c r="CD20" s="207"/>
      <c r="CE20" s="207"/>
      <c r="CF20" s="207"/>
      <c r="CG20" s="210" t="s">
        <v>223</v>
      </c>
      <c r="CH20" s="207"/>
      <c r="CI20" s="211"/>
      <c r="CJ20" s="207"/>
      <c r="CK20" s="207"/>
      <c r="CL20" s="207"/>
    </row>
    <row r="21">
      <c r="A21" s="198" t="s">
        <v>242</v>
      </c>
      <c r="B21" s="200"/>
      <c r="C21" s="200"/>
      <c r="D21" s="200"/>
      <c r="E21" s="200"/>
      <c r="F21" s="200"/>
      <c r="G21" s="201"/>
      <c r="H21" s="201"/>
      <c r="I21" s="202" t="s">
        <v>223</v>
      </c>
      <c r="J21" s="201"/>
      <c r="K21" s="201"/>
      <c r="L21" s="201"/>
      <c r="M21" s="201"/>
      <c r="N21" s="201"/>
      <c r="O21" s="201"/>
      <c r="P21" s="200"/>
      <c r="Q21" s="200"/>
      <c r="R21" s="200"/>
      <c r="S21" s="200"/>
      <c r="T21" s="200"/>
      <c r="U21" s="200"/>
      <c r="V21" s="199" t="s">
        <v>223</v>
      </c>
      <c r="W21" s="200"/>
      <c r="X21" s="200"/>
      <c r="Y21" s="200"/>
      <c r="Z21" s="200"/>
      <c r="AA21" s="200"/>
      <c r="AB21" s="200"/>
      <c r="AC21" s="200"/>
      <c r="AD21" s="200"/>
      <c r="AE21" s="200"/>
      <c r="AF21" s="204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  <c r="BB21" s="200"/>
      <c r="BC21" s="200"/>
      <c r="BD21" s="200"/>
      <c r="BE21" s="200"/>
      <c r="BF21" s="200"/>
      <c r="BG21" s="200"/>
      <c r="BH21" s="200"/>
      <c r="BI21" s="200"/>
      <c r="BJ21" s="200"/>
      <c r="BK21" s="200"/>
      <c r="BL21" s="200"/>
      <c r="BM21" s="200"/>
      <c r="BN21" s="200"/>
      <c r="BO21" s="200"/>
      <c r="BP21" s="200"/>
      <c r="BQ21" s="200"/>
      <c r="BR21" s="200"/>
      <c r="BS21" s="200"/>
      <c r="BT21" s="200"/>
      <c r="BU21" s="200"/>
      <c r="BV21" s="200"/>
      <c r="BW21" s="200"/>
      <c r="BX21" s="200"/>
      <c r="BY21" s="200"/>
      <c r="BZ21" s="200"/>
      <c r="CA21" s="200"/>
      <c r="CB21" s="200"/>
      <c r="CC21" s="200"/>
      <c r="CD21" s="200"/>
      <c r="CE21" s="200"/>
      <c r="CF21" s="199" t="s">
        <v>223</v>
      </c>
      <c r="CG21" s="200"/>
      <c r="CH21" s="200"/>
      <c r="CI21" s="205"/>
      <c r="CJ21" s="200"/>
      <c r="CK21" s="200"/>
      <c r="CL21" s="200"/>
    </row>
    <row r="22">
      <c r="A22" s="206" t="s">
        <v>243</v>
      </c>
      <c r="B22" s="207"/>
      <c r="C22" s="207"/>
      <c r="D22" s="210" t="s">
        <v>223</v>
      </c>
      <c r="E22" s="207"/>
      <c r="F22" s="207"/>
      <c r="G22" s="208"/>
      <c r="H22" s="212" t="s">
        <v>223</v>
      </c>
      <c r="I22" s="208"/>
      <c r="J22" s="208"/>
      <c r="K22" s="208"/>
      <c r="L22" s="208"/>
      <c r="M22" s="208"/>
      <c r="N22" s="208"/>
      <c r="O22" s="208"/>
      <c r="P22" s="207"/>
      <c r="Q22" s="207"/>
      <c r="R22" s="207"/>
      <c r="S22" s="207"/>
      <c r="T22" s="207"/>
      <c r="U22" s="207"/>
      <c r="V22" s="207"/>
      <c r="W22" s="207"/>
      <c r="X22" s="207"/>
      <c r="Y22" s="210" t="s">
        <v>223</v>
      </c>
      <c r="Z22" s="207"/>
      <c r="AA22" s="207"/>
      <c r="AB22" s="207"/>
      <c r="AC22" s="207"/>
      <c r="AD22" s="207"/>
      <c r="AE22" s="207"/>
      <c r="AF22" s="209"/>
      <c r="AG22" s="207"/>
      <c r="AH22" s="207"/>
      <c r="AI22" s="207"/>
      <c r="AJ22" s="210" t="s">
        <v>223</v>
      </c>
      <c r="AK22" s="207"/>
      <c r="AL22" s="207"/>
      <c r="AM22" s="207"/>
      <c r="AN22" s="207"/>
      <c r="AO22" s="207"/>
      <c r="AP22" s="210" t="s">
        <v>223</v>
      </c>
      <c r="AQ22" s="207"/>
      <c r="AR22" s="207"/>
      <c r="AS22" s="210" t="s">
        <v>223</v>
      </c>
      <c r="AT22" s="207"/>
      <c r="AU22" s="210" t="s">
        <v>223</v>
      </c>
      <c r="AV22" s="207"/>
      <c r="AW22" s="207"/>
      <c r="AX22" s="210" t="s">
        <v>223</v>
      </c>
      <c r="AY22" s="207"/>
      <c r="AZ22" s="207"/>
      <c r="BA22" s="207"/>
      <c r="BB22" s="207"/>
      <c r="BC22" s="210" t="s">
        <v>223</v>
      </c>
      <c r="BD22" s="207"/>
      <c r="BE22" s="207"/>
      <c r="BF22" s="210" t="s">
        <v>223</v>
      </c>
      <c r="BG22" s="207"/>
      <c r="BH22" s="207"/>
      <c r="BI22" s="207"/>
      <c r="BJ22" s="207"/>
      <c r="BK22" s="207"/>
      <c r="BL22" s="207"/>
      <c r="BM22" s="207"/>
      <c r="BN22" s="210" t="s">
        <v>223</v>
      </c>
      <c r="BO22" s="207"/>
      <c r="BP22" s="207"/>
      <c r="BQ22" s="207"/>
      <c r="BR22" s="207"/>
      <c r="BS22" s="207"/>
      <c r="BT22" s="207"/>
      <c r="BU22" s="207"/>
      <c r="BV22" s="207"/>
      <c r="BW22" s="207"/>
      <c r="BX22" s="207"/>
      <c r="BY22" s="207"/>
      <c r="BZ22" s="207"/>
      <c r="CA22" s="210" t="s">
        <v>223</v>
      </c>
      <c r="CB22" s="207"/>
      <c r="CC22" s="207"/>
      <c r="CD22" s="207"/>
      <c r="CE22" s="207"/>
      <c r="CF22" s="207"/>
      <c r="CG22" s="207"/>
      <c r="CH22" s="207"/>
      <c r="CI22" s="211"/>
      <c r="CJ22" s="207"/>
      <c r="CK22" s="207"/>
      <c r="CL22" s="207"/>
    </row>
    <row r="23">
      <c r="A23" s="198" t="s">
        <v>244</v>
      </c>
      <c r="B23" s="200"/>
      <c r="C23" s="200"/>
      <c r="D23" s="200"/>
      <c r="E23" s="200"/>
      <c r="F23" s="200"/>
      <c r="G23" s="201"/>
      <c r="H23" s="201"/>
      <c r="I23" s="202" t="s">
        <v>223</v>
      </c>
      <c r="J23" s="201"/>
      <c r="K23" s="202" t="s">
        <v>223</v>
      </c>
      <c r="L23" s="201"/>
      <c r="M23" s="201"/>
      <c r="N23" s="201"/>
      <c r="O23" s="201"/>
      <c r="P23" s="200"/>
      <c r="Q23" s="200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4"/>
      <c r="AG23" s="200"/>
      <c r="AH23" s="200"/>
      <c r="AI23" s="200"/>
      <c r="AJ23" s="200"/>
      <c r="AK23" s="200"/>
      <c r="AL23" s="200"/>
      <c r="AM23" s="200"/>
      <c r="AN23" s="200"/>
      <c r="AO23" s="200"/>
      <c r="AP23" s="200"/>
      <c r="AQ23" s="200"/>
      <c r="AR23" s="200"/>
      <c r="AS23" s="200"/>
      <c r="AT23" s="200"/>
      <c r="AU23" s="200"/>
      <c r="AV23" s="200"/>
      <c r="AW23" s="200"/>
      <c r="AX23" s="200"/>
      <c r="AY23" s="200"/>
      <c r="AZ23" s="200"/>
      <c r="BA23" s="200"/>
      <c r="BB23" s="200"/>
      <c r="BC23" s="200"/>
      <c r="BD23" s="200"/>
      <c r="BE23" s="200"/>
      <c r="BF23" s="200"/>
      <c r="BG23" s="200"/>
      <c r="BH23" s="200"/>
      <c r="BI23" s="200"/>
      <c r="BJ23" s="200"/>
      <c r="BK23" s="200"/>
      <c r="BL23" s="200"/>
      <c r="BM23" s="200"/>
      <c r="BN23" s="200"/>
      <c r="BO23" s="200"/>
      <c r="BP23" s="199" t="s">
        <v>223</v>
      </c>
      <c r="BQ23" s="200"/>
      <c r="BR23" s="200"/>
      <c r="BS23" s="200"/>
      <c r="BT23" s="200"/>
      <c r="BU23" s="200"/>
      <c r="BV23" s="200"/>
      <c r="BW23" s="200"/>
      <c r="BX23" s="200"/>
      <c r="BY23" s="200"/>
      <c r="BZ23" s="200"/>
      <c r="CA23" s="200"/>
      <c r="CB23" s="200"/>
      <c r="CC23" s="200"/>
      <c r="CD23" s="200"/>
      <c r="CE23" s="200"/>
      <c r="CF23" s="200"/>
      <c r="CG23" s="200"/>
      <c r="CH23" s="200"/>
      <c r="CI23" s="205"/>
      <c r="CJ23" s="200"/>
      <c r="CK23" s="200"/>
      <c r="CL23" s="200"/>
    </row>
    <row r="24">
      <c r="A24" s="206" t="s">
        <v>245</v>
      </c>
      <c r="B24" s="207"/>
      <c r="C24" s="207"/>
      <c r="D24" s="207"/>
      <c r="E24" s="207"/>
      <c r="F24" s="207"/>
      <c r="G24" s="208"/>
      <c r="H24" s="208"/>
      <c r="I24" s="208"/>
      <c r="J24" s="208"/>
      <c r="K24" s="208"/>
      <c r="L24" s="208"/>
      <c r="M24" s="208"/>
      <c r="N24" s="208"/>
      <c r="O24" s="208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/>
      <c r="AD24" s="207"/>
      <c r="AE24" s="207"/>
      <c r="AF24" s="209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207"/>
      <c r="AV24" s="210" t="s">
        <v>223</v>
      </c>
      <c r="AW24" s="207"/>
      <c r="AX24" s="207"/>
      <c r="AY24" s="207"/>
      <c r="AZ24" s="207"/>
      <c r="BA24" s="207"/>
      <c r="BB24" s="207"/>
      <c r="BC24" s="207"/>
      <c r="BD24" s="207"/>
      <c r="BE24" s="207"/>
      <c r="BF24" s="207"/>
      <c r="BG24" s="207"/>
      <c r="BH24" s="207"/>
      <c r="BI24" s="207"/>
      <c r="BJ24" s="210" t="s">
        <v>223</v>
      </c>
      <c r="BK24" s="207"/>
      <c r="BL24" s="207"/>
      <c r="BM24" s="207"/>
      <c r="BN24" s="207"/>
      <c r="BO24" s="207"/>
      <c r="BP24" s="207"/>
      <c r="BQ24" s="207"/>
      <c r="BR24" s="207"/>
      <c r="BS24" s="207"/>
      <c r="BT24" s="207"/>
      <c r="BU24" s="207"/>
      <c r="BV24" s="207"/>
      <c r="BW24" s="207"/>
      <c r="BX24" s="207"/>
      <c r="BY24" s="207"/>
      <c r="BZ24" s="207"/>
      <c r="CA24" s="207"/>
      <c r="CB24" s="207"/>
      <c r="CC24" s="207"/>
      <c r="CD24" s="207"/>
      <c r="CE24" s="207"/>
      <c r="CF24" s="207"/>
      <c r="CG24" s="207"/>
      <c r="CH24" s="207"/>
      <c r="CI24" s="211"/>
      <c r="CJ24" s="207"/>
      <c r="CK24" s="207"/>
      <c r="CL24" s="207"/>
    </row>
    <row r="25">
      <c r="A25" s="198" t="s">
        <v>246</v>
      </c>
      <c r="B25" s="200"/>
      <c r="C25" s="200"/>
      <c r="D25" s="200"/>
      <c r="E25" s="200"/>
      <c r="F25" s="200"/>
      <c r="G25" s="201"/>
      <c r="H25" s="201"/>
      <c r="I25" s="201"/>
      <c r="J25" s="201"/>
      <c r="K25" s="201"/>
      <c r="L25" s="201"/>
      <c r="M25" s="201"/>
      <c r="N25" s="201"/>
      <c r="O25" s="201"/>
      <c r="P25" s="200"/>
      <c r="Q25" s="200"/>
      <c r="R25" s="200"/>
      <c r="S25" s="200"/>
      <c r="T25" s="200"/>
      <c r="U25" s="200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4"/>
      <c r="AG25" s="200"/>
      <c r="AH25" s="200"/>
      <c r="AI25" s="200"/>
      <c r="AJ25" s="200"/>
      <c r="AK25" s="200"/>
      <c r="AL25" s="200"/>
      <c r="AM25" s="200"/>
      <c r="AN25" s="200"/>
      <c r="AO25" s="200"/>
      <c r="AP25" s="200"/>
      <c r="AQ25" s="200"/>
      <c r="AR25" s="200"/>
      <c r="AS25" s="200"/>
      <c r="AT25" s="200"/>
      <c r="AU25" s="200"/>
      <c r="AV25" s="200"/>
      <c r="AW25" s="200"/>
      <c r="AX25" s="200"/>
      <c r="AY25" s="200"/>
      <c r="AZ25" s="200"/>
      <c r="BA25" s="200"/>
      <c r="BB25" s="200"/>
      <c r="BC25" s="200"/>
      <c r="BD25" s="200"/>
      <c r="BE25" s="200"/>
      <c r="BF25" s="200"/>
      <c r="BG25" s="200"/>
      <c r="BH25" s="200"/>
      <c r="BI25" s="200"/>
      <c r="BJ25" s="200"/>
      <c r="BK25" s="199" t="s">
        <v>223</v>
      </c>
      <c r="BL25" s="200"/>
      <c r="BM25" s="200"/>
      <c r="BN25" s="200"/>
      <c r="BO25" s="200"/>
      <c r="BP25" s="200"/>
      <c r="BQ25" s="200"/>
      <c r="BR25" s="200"/>
      <c r="BS25" s="200"/>
      <c r="BT25" s="200"/>
      <c r="BU25" s="200"/>
      <c r="BV25" s="200"/>
      <c r="BW25" s="200"/>
      <c r="BX25" s="200"/>
      <c r="BY25" s="200"/>
      <c r="BZ25" s="200"/>
      <c r="CA25" s="200"/>
      <c r="CB25" s="200"/>
      <c r="CC25" s="200"/>
      <c r="CD25" s="200"/>
      <c r="CE25" s="200"/>
      <c r="CF25" s="200"/>
      <c r="CG25" s="200"/>
      <c r="CH25" s="200"/>
      <c r="CI25" s="205"/>
      <c r="CJ25" s="200"/>
      <c r="CK25" s="200"/>
      <c r="CL25" s="200"/>
    </row>
    <row r="26">
      <c r="A26" s="206" t="s">
        <v>247</v>
      </c>
      <c r="B26" s="207"/>
      <c r="C26" s="207"/>
      <c r="D26" s="207"/>
      <c r="E26" s="210" t="s">
        <v>223</v>
      </c>
      <c r="F26" s="207"/>
      <c r="G26" s="208"/>
      <c r="H26" s="208"/>
      <c r="I26" s="208"/>
      <c r="J26" s="208"/>
      <c r="K26" s="208"/>
      <c r="L26" s="208"/>
      <c r="M26" s="208"/>
      <c r="N26" s="208"/>
      <c r="O26" s="208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7"/>
      <c r="AA26" s="207"/>
      <c r="AB26" s="207"/>
      <c r="AC26" s="207"/>
      <c r="AD26" s="207"/>
      <c r="AE26" s="207"/>
      <c r="AF26" s="209"/>
      <c r="AG26" s="207"/>
      <c r="AH26" s="210" t="s">
        <v>223</v>
      </c>
      <c r="AI26" s="207"/>
      <c r="AJ26" s="207"/>
      <c r="AK26" s="207"/>
      <c r="AL26" s="207"/>
      <c r="AM26" s="207"/>
      <c r="AN26" s="207"/>
      <c r="AO26" s="207"/>
      <c r="AP26" s="207"/>
      <c r="AQ26" s="207"/>
      <c r="AR26" s="207"/>
      <c r="AS26" s="207"/>
      <c r="AT26" s="207"/>
      <c r="AU26" s="207"/>
      <c r="AV26" s="207"/>
      <c r="AW26" s="207"/>
      <c r="AX26" s="207"/>
      <c r="AY26" s="207"/>
      <c r="AZ26" s="207"/>
      <c r="BA26" s="207"/>
      <c r="BB26" s="207"/>
      <c r="BC26" s="207"/>
      <c r="BD26" s="207"/>
      <c r="BE26" s="207"/>
      <c r="BF26" s="207"/>
      <c r="BG26" s="207"/>
      <c r="BH26" s="207"/>
      <c r="BI26" s="207"/>
      <c r="BJ26" s="207"/>
      <c r="BK26" s="207"/>
      <c r="BL26" s="207"/>
      <c r="BM26" s="207"/>
      <c r="BN26" s="207"/>
      <c r="BO26" s="207"/>
      <c r="BP26" s="207"/>
      <c r="BQ26" s="207"/>
      <c r="BR26" s="207"/>
      <c r="BS26" s="207"/>
      <c r="BT26" s="207"/>
      <c r="BU26" s="207"/>
      <c r="BV26" s="207"/>
      <c r="BW26" s="207"/>
      <c r="BX26" s="207"/>
      <c r="BY26" s="207"/>
      <c r="BZ26" s="207"/>
      <c r="CA26" s="207"/>
      <c r="CB26" s="207"/>
      <c r="CC26" s="207"/>
      <c r="CD26" s="207"/>
      <c r="CE26" s="207"/>
      <c r="CF26" s="207"/>
      <c r="CG26" s="207"/>
      <c r="CH26" s="207"/>
      <c r="CI26" s="211"/>
      <c r="CJ26" s="207"/>
      <c r="CK26" s="207"/>
      <c r="CL26" s="207"/>
    </row>
    <row r="27">
      <c r="A27" s="199" t="s">
        <v>248</v>
      </c>
      <c r="B27" s="200"/>
      <c r="C27" s="200"/>
      <c r="D27" s="200"/>
      <c r="E27" s="200"/>
      <c r="F27" s="200"/>
      <c r="G27" s="201"/>
      <c r="H27" s="201"/>
      <c r="I27" s="201"/>
      <c r="J27" s="202" t="s">
        <v>223</v>
      </c>
      <c r="K27" s="201"/>
      <c r="L27" s="201"/>
      <c r="M27" s="201"/>
      <c r="N27" s="201"/>
      <c r="O27" s="201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4"/>
      <c r="AG27" s="200"/>
      <c r="AH27" s="200"/>
      <c r="AI27" s="200"/>
      <c r="AJ27" s="200"/>
      <c r="AK27" s="200"/>
      <c r="AL27" s="200"/>
      <c r="AM27" s="200"/>
      <c r="AN27" s="200"/>
      <c r="AO27" s="200"/>
      <c r="AP27" s="200"/>
      <c r="AQ27" s="200"/>
      <c r="AR27" s="200"/>
      <c r="AS27" s="200"/>
      <c r="AT27" s="200"/>
      <c r="AU27" s="200"/>
      <c r="AV27" s="200"/>
      <c r="AW27" s="200"/>
      <c r="AX27" s="200"/>
      <c r="AY27" s="200"/>
      <c r="AZ27" s="200"/>
      <c r="BA27" s="200"/>
      <c r="BB27" s="200"/>
      <c r="BC27" s="200"/>
      <c r="BD27" s="200"/>
      <c r="BE27" s="200"/>
      <c r="BF27" s="200"/>
      <c r="BG27" s="200"/>
      <c r="BH27" s="200"/>
      <c r="BI27" s="200"/>
      <c r="BJ27" s="200"/>
      <c r="BK27" s="200"/>
      <c r="BL27" s="200"/>
      <c r="BM27" s="200"/>
      <c r="BN27" s="200"/>
      <c r="BO27" s="200"/>
      <c r="BP27" s="200"/>
      <c r="BQ27" s="200"/>
      <c r="BR27" s="200"/>
      <c r="BS27" s="200"/>
      <c r="BT27" s="200"/>
      <c r="BU27" s="200"/>
      <c r="BV27" s="200"/>
      <c r="BW27" s="200"/>
      <c r="BX27" s="200"/>
      <c r="BY27" s="200"/>
      <c r="BZ27" s="200"/>
      <c r="CA27" s="200"/>
      <c r="CB27" s="200"/>
      <c r="CC27" s="200"/>
      <c r="CD27" s="200"/>
      <c r="CE27" s="200"/>
      <c r="CF27" s="200"/>
      <c r="CG27" s="200"/>
      <c r="CH27" s="200"/>
      <c r="CI27" s="205"/>
      <c r="CJ27" s="200"/>
      <c r="CK27" s="200"/>
      <c r="CL27" s="200"/>
    </row>
    <row r="28">
      <c r="A28" s="210" t="s">
        <v>249</v>
      </c>
      <c r="B28" s="207"/>
      <c r="C28" s="207"/>
      <c r="D28" s="207"/>
      <c r="E28" s="207"/>
      <c r="F28" s="207"/>
      <c r="G28" s="208"/>
      <c r="H28" s="208"/>
      <c r="I28" s="208"/>
      <c r="J28" s="208"/>
      <c r="K28" s="208"/>
      <c r="L28" s="208"/>
      <c r="M28" s="208"/>
      <c r="N28" s="208"/>
      <c r="O28" s="208"/>
      <c r="P28" s="207"/>
      <c r="Q28" s="207"/>
      <c r="R28" s="207"/>
      <c r="S28" s="207"/>
      <c r="T28" s="207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9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10" t="s">
        <v>223</v>
      </c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10" t="s">
        <v>223</v>
      </c>
      <c r="BU28" s="207"/>
      <c r="BV28" s="207"/>
      <c r="BW28" s="207"/>
      <c r="BX28" s="210" t="s">
        <v>223</v>
      </c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11"/>
      <c r="CJ28" s="207"/>
      <c r="CK28" s="207"/>
      <c r="CL28" s="207"/>
    </row>
    <row r="29">
      <c r="A29" s="199" t="s">
        <v>250</v>
      </c>
      <c r="B29" s="200"/>
      <c r="C29" s="200"/>
      <c r="D29" s="200"/>
      <c r="E29" s="200"/>
      <c r="F29" s="200"/>
      <c r="G29" s="201"/>
      <c r="H29" s="201"/>
      <c r="I29" s="201"/>
      <c r="J29" s="201"/>
      <c r="K29" s="201"/>
      <c r="L29" s="201"/>
      <c r="M29" s="201"/>
      <c r="N29" s="201"/>
      <c r="O29" s="201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4"/>
      <c r="AG29" s="200"/>
      <c r="AH29" s="200"/>
      <c r="AI29" s="200"/>
      <c r="AJ29" s="200"/>
      <c r="AK29" s="200"/>
      <c r="AL29" s="200"/>
      <c r="AM29" s="200"/>
      <c r="AN29" s="200"/>
      <c r="AO29" s="200"/>
      <c r="AP29" s="200"/>
      <c r="AQ29" s="200"/>
      <c r="AR29" s="200"/>
      <c r="AS29" s="200"/>
      <c r="AT29" s="200"/>
      <c r="AU29" s="200"/>
      <c r="AV29" s="200"/>
      <c r="AW29" s="199" t="s">
        <v>223</v>
      </c>
      <c r="AX29" s="200"/>
      <c r="AY29" s="200"/>
      <c r="AZ29" s="200"/>
      <c r="BA29" s="200"/>
      <c r="BB29" s="200"/>
      <c r="BC29" s="200"/>
      <c r="BD29" s="200"/>
      <c r="BE29" s="200"/>
      <c r="BF29" s="200"/>
      <c r="BG29" s="200"/>
      <c r="BH29" s="200"/>
      <c r="BI29" s="200"/>
      <c r="BJ29" s="199" t="s">
        <v>223</v>
      </c>
      <c r="BK29" s="200"/>
      <c r="BL29" s="200"/>
      <c r="BM29" s="200"/>
      <c r="BN29" s="200"/>
      <c r="BO29" s="200"/>
      <c r="BP29" s="200"/>
      <c r="BQ29" s="200"/>
      <c r="BR29" s="200"/>
      <c r="BS29" s="200"/>
      <c r="BT29" s="200"/>
      <c r="BU29" s="200"/>
      <c r="BV29" s="200"/>
      <c r="BW29" s="200"/>
      <c r="BX29" s="200"/>
      <c r="BY29" s="200"/>
      <c r="BZ29" s="200"/>
      <c r="CA29" s="200"/>
      <c r="CB29" s="200"/>
      <c r="CC29" s="200"/>
      <c r="CD29" s="200"/>
      <c r="CE29" s="199" t="s">
        <v>223</v>
      </c>
      <c r="CF29" s="200"/>
      <c r="CG29" s="200"/>
      <c r="CH29" s="200"/>
      <c r="CI29" s="205"/>
      <c r="CJ29" s="200"/>
      <c r="CK29" s="200"/>
      <c r="CL29" s="200"/>
    </row>
    <row r="30">
      <c r="A30" s="200"/>
      <c r="B30" s="200"/>
      <c r="C30" s="200"/>
      <c r="D30" s="200"/>
      <c r="E30" s="200"/>
      <c r="F30" s="200"/>
      <c r="G30" s="201"/>
      <c r="H30" s="201"/>
      <c r="I30" s="201"/>
      <c r="J30" s="201"/>
      <c r="K30" s="201"/>
      <c r="L30" s="201"/>
      <c r="M30" s="201"/>
      <c r="N30" s="201"/>
      <c r="O30" s="201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4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  <c r="AW30" s="200"/>
      <c r="AX30" s="200"/>
      <c r="AY30" s="200"/>
      <c r="AZ30" s="200"/>
      <c r="BA30" s="200"/>
      <c r="BB30" s="200"/>
      <c r="BC30" s="200"/>
      <c r="BD30" s="200"/>
      <c r="BE30" s="200"/>
      <c r="BF30" s="200"/>
      <c r="BG30" s="200"/>
      <c r="BH30" s="200"/>
      <c r="BI30" s="200"/>
      <c r="BJ30" s="200"/>
      <c r="BK30" s="200"/>
      <c r="BL30" s="200"/>
      <c r="BM30" s="200"/>
      <c r="BN30" s="200"/>
      <c r="BO30" s="200"/>
      <c r="BP30" s="200"/>
      <c r="BQ30" s="200"/>
      <c r="BR30" s="200"/>
      <c r="BS30" s="200"/>
      <c r="BT30" s="200"/>
      <c r="BU30" s="200"/>
      <c r="BV30" s="200"/>
      <c r="BW30" s="200"/>
      <c r="BX30" s="200"/>
      <c r="BY30" s="200"/>
      <c r="BZ30" s="200"/>
      <c r="CA30" s="200"/>
      <c r="CB30" s="200"/>
      <c r="CC30" s="200"/>
      <c r="CD30" s="200"/>
      <c r="CE30" s="200"/>
      <c r="CF30" s="200"/>
      <c r="CG30" s="200"/>
      <c r="CH30" s="200"/>
      <c r="CI30" s="205"/>
      <c r="CJ30" s="200"/>
      <c r="CK30" s="200"/>
      <c r="CL30" s="200"/>
    </row>
    <row r="31">
      <c r="A31" s="213" t="s">
        <v>251</v>
      </c>
      <c r="B31" s="210">
        <v>1.0</v>
      </c>
      <c r="C31" s="210">
        <v>1.0</v>
      </c>
      <c r="D31" s="210">
        <v>1.0</v>
      </c>
      <c r="E31" s="210">
        <v>2.0</v>
      </c>
      <c r="F31" s="207"/>
      <c r="G31" s="208"/>
      <c r="H31" s="212">
        <v>2.0</v>
      </c>
      <c r="I31" s="212">
        <v>4.0</v>
      </c>
      <c r="J31" s="212">
        <v>2.0</v>
      </c>
      <c r="K31" s="212">
        <v>4.0</v>
      </c>
      <c r="L31" s="208"/>
      <c r="M31" s="212">
        <v>1.0</v>
      </c>
      <c r="N31" s="212">
        <v>1.0</v>
      </c>
      <c r="O31" s="208"/>
      <c r="P31" s="210">
        <v>0.0</v>
      </c>
      <c r="Q31" s="210">
        <v>1.0</v>
      </c>
      <c r="R31" s="210">
        <v>1.0</v>
      </c>
      <c r="S31" s="210">
        <v>1.0</v>
      </c>
      <c r="T31" s="210">
        <v>1.0</v>
      </c>
      <c r="U31" s="207"/>
      <c r="V31" s="210">
        <v>4.0</v>
      </c>
      <c r="W31" s="210">
        <v>1.0</v>
      </c>
      <c r="X31" s="210">
        <v>1.0</v>
      </c>
      <c r="Y31" s="210">
        <v>1.0</v>
      </c>
      <c r="Z31" s="210">
        <v>1.0</v>
      </c>
      <c r="AA31" s="207"/>
      <c r="AB31" s="207"/>
      <c r="AC31" s="210">
        <v>1.0</v>
      </c>
      <c r="AD31" s="210">
        <v>1.0</v>
      </c>
      <c r="AE31" s="210">
        <v>1.0</v>
      </c>
      <c r="AF31" s="209"/>
      <c r="AG31" s="210">
        <v>4.0</v>
      </c>
      <c r="AH31" s="210">
        <v>1.0</v>
      </c>
      <c r="AI31" s="207"/>
      <c r="AJ31" s="210">
        <v>1.0</v>
      </c>
      <c r="AK31" s="210">
        <v>1.0</v>
      </c>
      <c r="AL31" s="210">
        <v>2.0</v>
      </c>
      <c r="AM31" s="210">
        <v>1.0</v>
      </c>
      <c r="AN31" s="210">
        <v>1.0</v>
      </c>
      <c r="AO31" s="210">
        <v>0.0</v>
      </c>
      <c r="AP31" s="210">
        <v>3.0</v>
      </c>
      <c r="AQ31" s="210">
        <v>1.0</v>
      </c>
      <c r="AR31" s="210">
        <v>1.0</v>
      </c>
      <c r="AS31" s="207"/>
      <c r="AT31" s="210">
        <v>4.0</v>
      </c>
      <c r="AU31" s="210">
        <v>1.0</v>
      </c>
      <c r="AV31" s="210">
        <v>2.0</v>
      </c>
      <c r="AW31" s="214">
        <v>9.0</v>
      </c>
      <c r="AX31" s="210">
        <v>1.0</v>
      </c>
      <c r="AY31" s="207"/>
      <c r="AZ31" s="210">
        <v>1.0</v>
      </c>
      <c r="BA31" s="210">
        <v>1.0</v>
      </c>
      <c r="BB31" s="207"/>
      <c r="BC31" s="210">
        <v>1.0</v>
      </c>
      <c r="BD31" s="210">
        <v>1.0</v>
      </c>
      <c r="BE31" s="210">
        <v>1.0</v>
      </c>
      <c r="BF31" s="210">
        <v>3.0</v>
      </c>
      <c r="BG31" s="207"/>
      <c r="BH31" s="207"/>
      <c r="BI31" s="210">
        <v>1.0</v>
      </c>
      <c r="BJ31" s="210">
        <v>6.0</v>
      </c>
      <c r="BK31" s="210">
        <v>1.0</v>
      </c>
      <c r="BL31" s="210">
        <v>2.0</v>
      </c>
      <c r="BM31" s="207"/>
      <c r="BN31" s="210">
        <v>4.0</v>
      </c>
      <c r="BO31" s="207"/>
      <c r="BP31" s="210">
        <v>1.0</v>
      </c>
      <c r="BQ31" s="207"/>
      <c r="BR31" s="210">
        <v>2.0</v>
      </c>
      <c r="BS31" s="207"/>
      <c r="BT31" s="210">
        <v>3.0</v>
      </c>
      <c r="BU31" s="210">
        <v>1.0</v>
      </c>
      <c r="BV31" s="207"/>
      <c r="BW31" s="210">
        <v>2.0</v>
      </c>
      <c r="BX31" s="210">
        <v>5.0</v>
      </c>
      <c r="BY31" s="207"/>
      <c r="BZ31" s="210">
        <v>1.0</v>
      </c>
      <c r="CA31" s="210">
        <v>2.0</v>
      </c>
      <c r="CB31" s="207"/>
      <c r="CC31" s="210">
        <v>2.0</v>
      </c>
      <c r="CD31" s="210">
        <v>1.0</v>
      </c>
      <c r="CE31" s="210">
        <v>1.0</v>
      </c>
      <c r="CF31" s="210">
        <v>4.0</v>
      </c>
      <c r="CG31" s="210">
        <v>1.0</v>
      </c>
      <c r="CH31" s="207"/>
      <c r="CI31" s="211"/>
      <c r="CJ31" s="210">
        <v>1.0</v>
      </c>
      <c r="CK31" s="210">
        <v>1.0</v>
      </c>
      <c r="CL31" s="207"/>
    </row>
    <row r="32">
      <c r="A32" s="200"/>
      <c r="B32" s="200"/>
      <c r="C32" s="200"/>
      <c r="D32" s="200"/>
      <c r="E32" s="200"/>
      <c r="F32" s="200"/>
      <c r="G32" s="201"/>
      <c r="H32" s="201"/>
      <c r="I32" s="201"/>
      <c r="J32" s="201"/>
      <c r="K32" s="201"/>
      <c r="L32" s="201"/>
      <c r="M32" s="201"/>
      <c r="N32" s="201"/>
      <c r="O32" s="201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4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200"/>
      <c r="AS32" s="200"/>
      <c r="AT32" s="200"/>
      <c r="AU32" s="200"/>
      <c r="AV32" s="200"/>
      <c r="AW32" s="200"/>
      <c r="AX32" s="200"/>
      <c r="AY32" s="200"/>
      <c r="AZ32" s="200"/>
      <c r="BA32" s="200"/>
      <c r="BB32" s="200"/>
      <c r="BC32" s="200"/>
      <c r="BD32" s="200"/>
      <c r="BE32" s="200"/>
      <c r="BF32" s="200"/>
      <c r="BG32" s="200"/>
      <c r="BH32" s="200"/>
      <c r="BI32" s="200"/>
      <c r="BJ32" s="200"/>
      <c r="BK32" s="200"/>
      <c r="BL32" s="200"/>
      <c r="BM32" s="200"/>
      <c r="BN32" s="200"/>
      <c r="BO32" s="200"/>
      <c r="BP32" s="200"/>
      <c r="BQ32" s="200"/>
      <c r="BR32" s="200"/>
      <c r="BS32" s="200"/>
      <c r="BT32" s="200"/>
      <c r="BU32" s="200"/>
      <c r="BV32" s="200"/>
      <c r="BW32" s="200"/>
      <c r="BX32" s="200"/>
      <c r="BY32" s="200"/>
      <c r="BZ32" s="200"/>
      <c r="CA32" s="200"/>
      <c r="CB32" s="200"/>
      <c r="CC32" s="200"/>
      <c r="CD32" s="200"/>
      <c r="CE32" s="200"/>
      <c r="CF32" s="200"/>
      <c r="CG32" s="200"/>
      <c r="CH32" s="200"/>
      <c r="CI32" s="205"/>
      <c r="CJ32" s="200"/>
      <c r="CK32" s="200"/>
      <c r="CL32" s="200"/>
    </row>
    <row r="33">
      <c r="A33" s="215" t="s">
        <v>252</v>
      </c>
      <c r="B33" s="200"/>
      <c r="C33" s="200"/>
      <c r="D33" s="200"/>
      <c r="E33" s="200"/>
      <c r="F33" s="200"/>
      <c r="G33" s="201"/>
      <c r="H33" s="201"/>
      <c r="I33" s="201"/>
      <c r="J33" s="201"/>
      <c r="K33" s="201"/>
      <c r="L33" s="201"/>
      <c r="M33" s="201"/>
      <c r="N33" s="201"/>
      <c r="O33" s="201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4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0"/>
      <c r="AR33" s="200"/>
      <c r="AS33" s="200"/>
      <c r="AT33" s="200"/>
      <c r="AU33" s="200"/>
      <c r="AV33" s="200"/>
      <c r="AW33" s="200"/>
      <c r="AX33" s="200"/>
      <c r="AY33" s="200"/>
      <c r="AZ33" s="200"/>
      <c r="BA33" s="200"/>
      <c r="BB33" s="200"/>
      <c r="BC33" s="200"/>
      <c r="BD33" s="200"/>
      <c r="BE33" s="200"/>
      <c r="BF33" s="200"/>
      <c r="BG33" s="200"/>
      <c r="BH33" s="200"/>
      <c r="BI33" s="200"/>
      <c r="BJ33" s="200"/>
      <c r="BK33" s="200"/>
      <c r="BL33" s="200"/>
      <c r="BM33" s="200"/>
      <c r="BN33" s="200"/>
      <c r="BO33" s="200"/>
      <c r="BP33" s="200"/>
      <c r="BQ33" s="200"/>
      <c r="BR33" s="200"/>
      <c r="BS33" s="200"/>
      <c r="BT33" s="200"/>
      <c r="BU33" s="200"/>
      <c r="BV33" s="200"/>
      <c r="BW33" s="200"/>
      <c r="BX33" s="200"/>
      <c r="BY33" s="200"/>
      <c r="BZ33" s="200"/>
      <c r="CA33" s="200"/>
      <c r="CB33" s="200"/>
      <c r="CC33" s="200"/>
      <c r="CD33" s="200"/>
      <c r="CE33" s="200"/>
      <c r="CF33" s="200"/>
      <c r="CG33" s="200"/>
      <c r="CH33" s="200"/>
      <c r="CI33" s="205"/>
      <c r="CJ33" s="200"/>
      <c r="CK33" s="200"/>
      <c r="CL33" s="200"/>
    </row>
    <row r="34">
      <c r="A34" s="216" t="s">
        <v>253</v>
      </c>
      <c r="B34" s="200"/>
      <c r="C34" s="200"/>
      <c r="D34" s="200"/>
      <c r="E34" s="200"/>
      <c r="F34" s="200"/>
      <c r="G34" s="201"/>
      <c r="H34" s="201"/>
      <c r="I34" s="201"/>
      <c r="J34" s="201"/>
      <c r="K34" s="201"/>
      <c r="L34" s="201"/>
      <c r="M34" s="201"/>
      <c r="N34" s="201"/>
      <c r="O34" s="201"/>
      <c r="P34" s="200"/>
      <c r="Q34" s="200"/>
      <c r="R34" s="200"/>
      <c r="S34" s="200"/>
      <c r="T34" s="200"/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4"/>
      <c r="AG34" s="200"/>
      <c r="AH34" s="200"/>
      <c r="AI34" s="200"/>
      <c r="AJ34" s="200"/>
      <c r="AK34" s="200"/>
      <c r="AL34" s="200"/>
      <c r="AM34" s="200"/>
      <c r="AN34" s="200"/>
      <c r="AO34" s="200"/>
      <c r="AP34" s="200"/>
      <c r="AQ34" s="200"/>
      <c r="AR34" s="200"/>
      <c r="AS34" s="200"/>
      <c r="AT34" s="200"/>
      <c r="AU34" s="200"/>
      <c r="AV34" s="200"/>
      <c r="AW34" s="200"/>
      <c r="AX34" s="200"/>
      <c r="AY34" s="200"/>
      <c r="AZ34" s="200"/>
      <c r="BA34" s="200"/>
      <c r="BB34" s="200"/>
      <c r="BC34" s="200"/>
      <c r="BD34" s="200"/>
      <c r="BE34" s="200"/>
      <c r="BF34" s="200"/>
      <c r="BG34" s="200"/>
      <c r="BH34" s="200"/>
      <c r="BI34" s="200"/>
      <c r="BJ34" s="200"/>
      <c r="BK34" s="200"/>
      <c r="BL34" s="200"/>
      <c r="BM34" s="200"/>
      <c r="BN34" s="200"/>
      <c r="BO34" s="200"/>
      <c r="BP34" s="200"/>
      <c r="BQ34" s="200"/>
      <c r="BR34" s="200"/>
      <c r="BS34" s="200"/>
      <c r="BT34" s="200"/>
      <c r="BU34" s="200"/>
      <c r="BV34" s="200"/>
      <c r="BW34" s="200"/>
      <c r="BX34" s="200"/>
      <c r="BY34" s="200"/>
      <c r="BZ34" s="200"/>
      <c r="CA34" s="200"/>
      <c r="CB34" s="200"/>
      <c r="CC34" s="200"/>
      <c r="CD34" s="200"/>
      <c r="CE34" s="200"/>
      <c r="CF34" s="200"/>
      <c r="CG34" s="200"/>
      <c r="CH34" s="200"/>
      <c r="CI34" s="205"/>
      <c r="CJ34" s="200"/>
      <c r="CK34" s="200"/>
      <c r="CL34" s="200"/>
    </row>
    <row r="35">
      <c r="A35" s="200"/>
      <c r="B35" s="200"/>
      <c r="C35" s="200"/>
      <c r="D35" s="200"/>
      <c r="E35" s="200"/>
      <c r="F35" s="200"/>
      <c r="G35" s="201"/>
      <c r="H35" s="201"/>
      <c r="I35" s="201"/>
      <c r="J35" s="201"/>
      <c r="K35" s="201"/>
      <c r="L35" s="201"/>
      <c r="M35" s="201"/>
      <c r="N35" s="201"/>
      <c r="O35" s="201"/>
      <c r="P35" s="200"/>
      <c r="Q35" s="200"/>
      <c r="R35" s="200"/>
      <c r="S35" s="200"/>
      <c r="T35" s="200"/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4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200"/>
      <c r="AS35" s="200"/>
      <c r="AT35" s="200"/>
      <c r="AU35" s="200"/>
      <c r="AV35" s="200"/>
      <c r="AW35" s="200"/>
      <c r="AX35" s="200"/>
      <c r="AY35" s="200"/>
      <c r="AZ35" s="200"/>
      <c r="BA35" s="200"/>
      <c r="BB35" s="200"/>
      <c r="BC35" s="200"/>
      <c r="BD35" s="200"/>
      <c r="BE35" s="200"/>
      <c r="BF35" s="200"/>
      <c r="BG35" s="200"/>
      <c r="BH35" s="200"/>
      <c r="BI35" s="200"/>
      <c r="BJ35" s="200"/>
      <c r="BK35" s="200"/>
      <c r="BL35" s="200"/>
      <c r="BM35" s="200"/>
      <c r="BN35" s="200"/>
      <c r="BO35" s="200"/>
      <c r="BP35" s="200"/>
      <c r="BQ35" s="200"/>
      <c r="BR35" s="200"/>
      <c r="BS35" s="200"/>
      <c r="BT35" s="200"/>
      <c r="BU35" s="200"/>
      <c r="BV35" s="200"/>
      <c r="BW35" s="200"/>
      <c r="BX35" s="200"/>
      <c r="BY35" s="200"/>
      <c r="BZ35" s="200"/>
      <c r="CA35" s="200"/>
      <c r="CB35" s="200"/>
      <c r="CC35" s="200"/>
      <c r="CD35" s="200"/>
      <c r="CE35" s="200"/>
      <c r="CF35" s="200"/>
      <c r="CG35" s="200"/>
      <c r="CH35" s="200"/>
      <c r="CI35" s="205"/>
      <c r="CJ35" s="200"/>
      <c r="CK35" s="200"/>
      <c r="CL35" s="200"/>
    </row>
    <row r="36">
      <c r="A36" s="217" t="s">
        <v>254</v>
      </c>
      <c r="B36" s="218"/>
      <c r="C36" s="219"/>
      <c r="D36" s="219"/>
      <c r="E36" s="219"/>
      <c r="F36" s="219"/>
      <c r="G36" s="220"/>
      <c r="H36" s="220"/>
      <c r="I36" s="220"/>
      <c r="J36" s="220"/>
      <c r="K36" s="220"/>
      <c r="L36" s="220"/>
      <c r="M36" s="220"/>
      <c r="N36" s="220"/>
      <c r="O36" s="220"/>
      <c r="P36" s="219"/>
      <c r="Q36" s="219"/>
      <c r="R36" s="219"/>
      <c r="S36" s="219"/>
      <c r="T36" s="219"/>
      <c r="U36" s="219"/>
      <c r="V36" s="219"/>
      <c r="W36" s="219"/>
      <c r="X36" s="219"/>
      <c r="Y36" s="219"/>
      <c r="Z36" s="219"/>
      <c r="AA36" s="219"/>
      <c r="AB36" s="219"/>
      <c r="AC36" s="219"/>
      <c r="AD36" s="219"/>
      <c r="AE36" s="219"/>
      <c r="AF36" s="221"/>
      <c r="AG36" s="219"/>
      <c r="AH36" s="219"/>
      <c r="AI36" s="219"/>
      <c r="AJ36" s="219"/>
      <c r="AK36" s="219"/>
      <c r="AL36" s="219"/>
      <c r="AM36" s="219"/>
      <c r="AN36" s="219"/>
      <c r="AO36" s="219"/>
      <c r="AP36" s="219"/>
      <c r="AQ36" s="219"/>
      <c r="AR36" s="219"/>
      <c r="AS36" s="219"/>
      <c r="AT36" s="219"/>
      <c r="AU36" s="200"/>
      <c r="AV36" s="200"/>
      <c r="AW36" s="200"/>
      <c r="AX36" s="200"/>
      <c r="AY36" s="219"/>
      <c r="AZ36" s="219"/>
      <c r="BA36" s="219"/>
      <c r="BB36" s="219"/>
      <c r="BC36" s="219"/>
      <c r="BD36" s="219"/>
      <c r="BE36" s="219"/>
      <c r="BF36" s="219"/>
      <c r="BG36" s="219"/>
      <c r="BH36" s="219"/>
      <c r="BI36" s="219"/>
      <c r="BJ36" s="219"/>
      <c r="BK36" s="219"/>
      <c r="BL36" s="219"/>
      <c r="BM36" s="219"/>
      <c r="BN36" s="219"/>
      <c r="BO36" s="219"/>
      <c r="BP36" s="219"/>
      <c r="BQ36" s="219"/>
      <c r="BR36" s="219"/>
      <c r="BS36" s="219"/>
      <c r="BT36" s="219"/>
      <c r="BU36" s="219"/>
      <c r="BV36" s="219"/>
      <c r="BW36" s="219"/>
      <c r="BX36" s="219"/>
      <c r="BY36" s="219"/>
      <c r="BZ36" s="219"/>
      <c r="CA36" s="219"/>
      <c r="CB36" s="219"/>
      <c r="CC36" s="219"/>
      <c r="CD36" s="219"/>
      <c r="CE36" s="219"/>
      <c r="CF36" s="219"/>
      <c r="CG36" s="219"/>
      <c r="CH36" s="219"/>
      <c r="CI36" s="222"/>
      <c r="CJ36" s="219"/>
      <c r="CK36" s="219"/>
      <c r="CL36" s="219"/>
    </row>
  </sheetData>
  <conditionalFormatting sqref="B12:B26">
    <cfRule type="containsText" dxfId="0" priority="1" operator="containsText" text="A">
      <formula>NOT(ISERROR(SEARCH(("A"),(B12))))</formula>
    </cfRule>
  </conditionalFormatting>
  <conditionalFormatting sqref="B36">
    <cfRule type="containsText" dxfId="0" priority="2" operator="containsText" text="A">
      <formula>NOT(ISERROR(SEARCH(("A"),(B36))))</formula>
    </cfRule>
  </conditionalFormatting>
  <conditionalFormatting sqref="B2:D2">
    <cfRule type="containsText" dxfId="0" priority="3" operator="containsText" text="A">
      <formula>NOT(ISERROR(SEARCH(("A"),(B2))))</formula>
    </cfRule>
  </conditionalFormatting>
  <conditionalFormatting sqref="B4:D10">
    <cfRule type="containsText" dxfId="0" priority="4" operator="containsText" text="A">
      <formula>NOT(ISERROR(SEARCH(("A"),(B4))))</formula>
    </cfRule>
  </conditionalFormatting>
  <conditionalFormatting sqref="C13:D26">
    <cfRule type="containsText" dxfId="0" priority="5" operator="containsText" text="A">
      <formula>NOT(ISERROR(SEARCH(("A"),(C13))))</formula>
    </cfRule>
  </conditionalFormatting>
  <conditionalFormatting sqref="E2:CJ36">
    <cfRule type="containsText" dxfId="0" priority="6" operator="containsText" text="A">
      <formula>NOT(ISERROR(SEARCH(("A"),(E2))))</formula>
    </cfRule>
  </conditionalFormatting>
  <conditionalFormatting sqref="CK13:CK26">
    <cfRule type="containsText" dxfId="0" priority="7" operator="containsText" text="A">
      <formula>NOT(ISERROR(SEARCH(("A"),(CK13))))</formula>
    </cfRule>
  </conditionalFormatting>
  <conditionalFormatting sqref="CK2:CL2">
    <cfRule type="containsText" dxfId="0" priority="8" operator="containsText" text="A">
      <formula>NOT(ISERROR(SEARCH(("A"),(CK2))))</formula>
    </cfRule>
  </conditionalFormatting>
  <conditionalFormatting sqref="CK4:CL10">
    <cfRule type="containsText" dxfId="0" priority="9" operator="containsText" text="A">
      <formula>NOT(ISERROR(SEARCH(("A"),(CK4))))</formula>
    </cfRule>
  </conditionalFormatting>
  <conditionalFormatting sqref="CL12:CL26">
    <cfRule type="containsText" dxfId="0" priority="10" operator="containsText" text="A">
      <formula>NOT(ISERROR(SEARCH(("A"),(CL12))))</formula>
    </cfRule>
  </conditionalFormatting>
  <conditionalFormatting sqref="CL36">
    <cfRule type="containsText" dxfId="0" priority="11" operator="containsText" text="A">
      <formula>NOT(ISERROR(SEARCH(("A"),(CL36))))</formula>
    </cfRule>
  </conditionalFormatting>
  <conditionalFormatting sqref="B12">
    <cfRule type="containsText" dxfId="1" priority="12" operator="containsText" text="C">
      <formula>NOT(ISERROR(SEARCH(("C"),(B12))))</formula>
    </cfRule>
  </conditionalFormatting>
  <conditionalFormatting sqref="B36">
    <cfRule type="containsText" dxfId="1" priority="13" operator="containsText" text="C">
      <formula>NOT(ISERROR(SEARCH(("C"),(B36))))</formula>
    </cfRule>
  </conditionalFormatting>
  <conditionalFormatting sqref="B2:CL2">
    <cfRule type="containsText" dxfId="1" priority="14" operator="containsText" text="C">
      <formula>NOT(ISERROR(SEARCH(("C"),(B2))))</formula>
    </cfRule>
  </conditionalFormatting>
  <conditionalFormatting sqref="CL12">
    <cfRule type="containsText" dxfId="1" priority="15" operator="containsText" text="C">
      <formula>NOT(ISERROR(SEARCH(("C"),(CL12))))</formula>
    </cfRule>
  </conditionalFormatting>
  <conditionalFormatting sqref="CL36">
    <cfRule type="containsText" dxfId="1" priority="16" operator="containsText" text="C">
      <formula>NOT(ISERROR(SEARCH(("C"),(CL36))))</formula>
    </cfRule>
  </conditionalFormatting>
  <conditionalFormatting sqref="B12">
    <cfRule type="containsText" dxfId="1" priority="17" operator="containsText" text="W">
      <formula>NOT(ISERROR(SEARCH(("W"),(B12))))</formula>
    </cfRule>
  </conditionalFormatting>
  <conditionalFormatting sqref="B36">
    <cfRule type="containsText" dxfId="1" priority="18" operator="containsText" text="W">
      <formula>NOT(ISERROR(SEARCH(("W"),(B36))))</formula>
    </cfRule>
  </conditionalFormatting>
  <conditionalFormatting sqref="B2:CL2">
    <cfRule type="containsText" dxfId="1" priority="19" operator="containsText" text="W">
      <formula>NOT(ISERROR(SEARCH(("W"),(B2))))</formula>
    </cfRule>
  </conditionalFormatting>
  <conditionalFormatting sqref="CL12">
    <cfRule type="containsText" dxfId="1" priority="20" operator="containsText" text="W">
      <formula>NOT(ISERROR(SEARCH(("W"),(CL12))))</formula>
    </cfRule>
  </conditionalFormatting>
  <conditionalFormatting sqref="CL36">
    <cfRule type="containsText" dxfId="1" priority="21" operator="containsText" text="W">
      <formula>NOT(ISERROR(SEARCH(("W"),(CL36))))</formula>
    </cfRule>
  </conditionalFormatting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9.0" topLeftCell="B10" activePane="bottomRight" state="frozen"/>
      <selection activeCell="B1" sqref="B1" pane="topRight"/>
      <selection activeCell="A10" sqref="A10" pane="bottomLeft"/>
      <selection activeCell="B10" sqref="B10" pane="bottomRight"/>
    </sheetView>
  </sheetViews>
  <sheetFormatPr customHeight="1" defaultColWidth="14.43" defaultRowHeight="12.75"/>
  <cols>
    <col customWidth="1" min="1" max="1" width="53.86"/>
    <col customWidth="1" min="2" max="2" width="14.71"/>
    <col customWidth="1" min="3" max="3" width="61.14"/>
    <col customWidth="1" min="4" max="4" width="18.57"/>
  </cols>
  <sheetData>
    <row r="1">
      <c r="A1" s="223" t="s">
        <v>255</v>
      </c>
      <c r="B1" s="224"/>
      <c r="C1" s="225" t="s">
        <v>256</v>
      </c>
      <c r="D1" s="226"/>
    </row>
    <row r="2">
      <c r="A2" s="227" t="s">
        <v>257</v>
      </c>
      <c r="B2" s="228">
        <f>SUM(B3:B8)</f>
        <v>1577479.46</v>
      </c>
      <c r="C2" s="229" t="s">
        <v>258</v>
      </c>
      <c r="D2" s="230"/>
    </row>
    <row r="3">
      <c r="A3" s="231" t="s">
        <v>259</v>
      </c>
      <c r="B3" s="232">
        <f>SUM(B201+B144+B67+B34+B21+B14+B11)</f>
        <v>1005509.73</v>
      </c>
      <c r="C3" s="233"/>
      <c r="D3" s="234"/>
    </row>
    <row r="4">
      <c r="A4" s="235" t="str">
        <f>hyperlink("http://www.bronythankyoufund.org/","Brony Thank You Fund")</f>
        <v>Brony Thank You Fund</v>
      </c>
      <c r="B4" s="236">
        <f>SUM(B210+B160+B100+B31+B23)</f>
        <v>134820.61</v>
      </c>
      <c r="C4" s="237" t="s">
        <v>260</v>
      </c>
      <c r="D4" s="238"/>
    </row>
    <row r="5">
      <c r="A5" s="239" t="str">
        <f>hyperlink("http://broniesforgood.org/","Bronies for Good")</f>
        <v>Bronies for Good</v>
      </c>
      <c r="B5" s="232">
        <f>B214</f>
        <v>96434</v>
      </c>
      <c r="C5" s="240" t="s">
        <v>261</v>
      </c>
      <c r="D5" s="234"/>
    </row>
    <row r="6">
      <c r="A6" s="235" t="str">
        <f>hyperlink("http://www.manliestbrony.com/blog/?page_id=315","DustyKatt's 'Stay Brony, My Friends' Manly Challenges")</f>
        <v>DustyKatt's 'Stay Brony, My Friends' Manly Challenges</v>
      </c>
      <c r="B6" s="236">
        <f>SUM(B103+B168+B36)</f>
        <v>63042</v>
      </c>
      <c r="C6" s="241"/>
      <c r="D6" s="238"/>
    </row>
    <row r="7">
      <c r="A7" s="239" t="str">
        <f>hyperlink("http://greymare.net/archive/","Old Grey Mare Show")</f>
        <v>Old Grey Mare Show</v>
      </c>
      <c r="B7" s="232">
        <f>SUM(B131+B220+B52+B16+B26)</f>
        <v>24020.33</v>
      </c>
      <c r="C7" s="233"/>
      <c r="D7" s="234"/>
    </row>
    <row r="8">
      <c r="A8" s="242" t="s">
        <v>262</v>
      </c>
      <c r="B8" s="243">
        <f>SUM(B197+B137+B226+B64+B28+B18)</f>
        <v>253652.79</v>
      </c>
      <c r="C8" s="244"/>
      <c r="D8" s="245"/>
    </row>
    <row r="9">
      <c r="A9" s="246" t="s">
        <v>263</v>
      </c>
      <c r="B9" s="247" t="s">
        <v>264</v>
      </c>
      <c r="C9" s="246" t="s">
        <v>265</v>
      </c>
      <c r="D9" s="246" t="s">
        <v>266</v>
      </c>
    </row>
    <row r="10">
      <c r="A10" s="248">
        <v>2018.0</v>
      </c>
      <c r="B10" s="249">
        <f t="shared" ref="B10:B11" si="1">B11</f>
        <v>130543.84</v>
      </c>
      <c r="C10" s="250"/>
      <c r="D10" s="230"/>
    </row>
    <row r="11">
      <c r="A11" s="251" t="s">
        <v>267</v>
      </c>
      <c r="B11" s="252">
        <f t="shared" si="1"/>
        <v>130543.84</v>
      </c>
      <c r="C11" s="253"/>
      <c r="D11" s="254"/>
    </row>
    <row r="12">
      <c r="A12" s="255" t="s">
        <v>268</v>
      </c>
      <c r="B12" s="256">
        <v>130543.84</v>
      </c>
      <c r="C12" s="257" t="str">
        <f>hyperlink("https://docs.google.com/spreadsheets/d/1smBLl_b-QLSrsiM-O9EMkXaXHHSTe2HwngGUh5GB3Xg/edit?pli=1#gid=15&amp;vpid=C3","(link to breakdown on Con spreadsheet)")</f>
        <v>(link to breakdown on Con spreadsheet)</v>
      </c>
      <c r="D12" s="258"/>
    </row>
    <row r="13">
      <c r="A13" s="248">
        <v>2017.0</v>
      </c>
      <c r="B13" s="249">
        <f>B14+B16+B18</f>
        <v>196083.03</v>
      </c>
      <c r="C13" s="250"/>
      <c r="D13" s="230"/>
    </row>
    <row r="14">
      <c r="A14" s="251" t="s">
        <v>267</v>
      </c>
      <c r="B14" s="259">
        <f>B15</f>
        <v>188359.03</v>
      </c>
      <c r="C14" s="253"/>
      <c r="D14" s="254"/>
    </row>
    <row r="15">
      <c r="A15" s="255" t="s">
        <v>268</v>
      </c>
      <c r="B15" s="256">
        <v>188359.03</v>
      </c>
      <c r="C15" s="257" t="str">
        <f>hyperlink("https://docs.google.com/spreadsheets/d/1smBLl_b-QLSrsiM-O9EMkXaXHHSTe2HwngGUh5GB3Xg/edit?pli=1#gid=15&amp;vpid=C3","(link to breakdown on Con spreadsheet)")</f>
        <v>(link to breakdown on Con spreadsheet)</v>
      </c>
      <c r="D15" s="258"/>
    </row>
    <row r="16">
      <c r="A16" s="260" t="s">
        <v>269</v>
      </c>
      <c r="B16" s="261">
        <f>B17</f>
        <v>5496</v>
      </c>
      <c r="C16" s="262"/>
      <c r="D16" s="262"/>
    </row>
    <row r="17">
      <c r="A17" s="263" t="str">
        <f>hyperlink("http://greymare.net/events/prvegas/","Bronies United for Puerto Rico &amp; Las Vegas")</f>
        <v>Bronies United for Puerto Rico &amp; Las Vegas</v>
      </c>
      <c r="B17" s="264">
        <v>5496.0</v>
      </c>
      <c r="C17" s="241"/>
      <c r="D17" s="241"/>
    </row>
    <row r="18">
      <c r="A18" s="265" t="s">
        <v>270</v>
      </c>
      <c r="B18" s="259">
        <f>B19</f>
        <v>2228</v>
      </c>
      <c r="C18" s="253"/>
      <c r="D18" s="254"/>
    </row>
    <row r="19">
      <c r="A19" s="266" t="str">
        <f>hyperlink("https://www.kickstarter.com/projects/504246913/melodicpony-in-memoriam-live-performance-transcrip","MelodicPony Live Performance Kickstarter")</f>
        <v>MelodicPony Live Performance Kickstarter</v>
      </c>
      <c r="B19" s="267">
        <v>2228.0</v>
      </c>
      <c r="C19" s="268"/>
      <c r="D19" s="269"/>
    </row>
    <row r="20">
      <c r="A20" s="248">
        <v>2016.0</v>
      </c>
      <c r="B20" s="249">
        <f>B21+B28</f>
        <v>171288.04</v>
      </c>
      <c r="C20" s="250"/>
      <c r="D20" s="230"/>
    </row>
    <row r="21">
      <c r="A21" s="251" t="s">
        <v>267</v>
      </c>
      <c r="B21" s="259">
        <f>B22</f>
        <v>134190.04</v>
      </c>
      <c r="C21" s="253"/>
      <c r="D21" s="254"/>
    </row>
    <row r="22">
      <c r="A22" s="255" t="s">
        <v>268</v>
      </c>
      <c r="B22" s="256">
        <v>134190.04</v>
      </c>
      <c r="C22" s="257" t="str">
        <f>hyperlink("https://docs.google.com/spreadsheets/d/1smBLl_b-QLSrsiM-O9EMkXaXHHSTe2HwngGUh5GB3Xg/edit?pli=1#gid=15&amp;vpid=C3","(link to breakdown on Con spreadsheet)")</f>
        <v>(link to breakdown on Con spreadsheet)</v>
      </c>
      <c r="D22" s="258"/>
    </row>
    <row r="23">
      <c r="A23" s="265" t="s">
        <v>271</v>
      </c>
      <c r="B23" s="270">
        <f>SUM(B24:B25)</f>
        <v>21000</v>
      </c>
      <c r="C23" s="271"/>
      <c r="D23" s="272"/>
    </row>
    <row r="24">
      <c r="A24" s="273" t="s">
        <v>272</v>
      </c>
      <c r="B24" s="274">
        <v>15000.0</v>
      </c>
      <c r="C24" s="275" t="s">
        <v>273</v>
      </c>
      <c r="D24" s="234"/>
    </row>
    <row r="25">
      <c r="A25" s="276" t="s">
        <v>274</v>
      </c>
      <c r="B25" s="277">
        <v>6000.0</v>
      </c>
      <c r="C25" s="275" t="s">
        <v>273</v>
      </c>
      <c r="D25" s="238"/>
    </row>
    <row r="26">
      <c r="A26" s="260" t="s">
        <v>269</v>
      </c>
      <c r="B26" s="261">
        <f>B27</f>
        <v>538.43</v>
      </c>
      <c r="C26" s="262"/>
      <c r="D26" s="262"/>
    </row>
    <row r="27">
      <c r="A27" s="278" t="s">
        <v>275</v>
      </c>
      <c r="B27" s="264">
        <v>538.43</v>
      </c>
      <c r="C27" s="279" t="s">
        <v>276</v>
      </c>
      <c r="D27" s="241"/>
    </row>
    <row r="28">
      <c r="A28" s="251" t="s">
        <v>270</v>
      </c>
      <c r="B28" s="270">
        <f>SUM(B29)</f>
        <v>37098</v>
      </c>
      <c r="C28" s="271"/>
      <c r="D28" s="272"/>
    </row>
    <row r="29">
      <c r="A29" s="280" t="str">
        <f>hyperlink("https://www.gofundme.com/jenn-blakes-cancer-treatment","Jenn Blake's Cancer Treatment Fundraiser")</f>
        <v>Jenn Blake's Cancer Treatment Fundraiser</v>
      </c>
      <c r="B29" s="281">
        <v>37098.0</v>
      </c>
      <c r="C29" s="282"/>
      <c r="D29" s="258"/>
    </row>
    <row r="30">
      <c r="A30" s="229">
        <v>2015.0</v>
      </c>
      <c r="B30" s="249">
        <f>SUM(B34+B36+B52+B64+B31)</f>
        <v>237433.45</v>
      </c>
      <c r="C30" s="250"/>
      <c r="D30" s="230"/>
    </row>
    <row r="31">
      <c r="A31" s="251" t="s">
        <v>271</v>
      </c>
      <c r="B31" s="259">
        <f>SUM(B32:B33)</f>
        <v>17153</v>
      </c>
      <c r="C31" s="253"/>
      <c r="D31" s="254"/>
    </row>
    <row r="32">
      <c r="A32" s="240" t="s">
        <v>277</v>
      </c>
      <c r="B32" s="274">
        <v>11653.0</v>
      </c>
      <c r="C32" s="275" t="s">
        <v>273</v>
      </c>
      <c r="D32" s="234"/>
    </row>
    <row r="33">
      <c r="A33" s="283" t="s">
        <v>278</v>
      </c>
      <c r="B33" s="284">
        <v>5500.0</v>
      </c>
      <c r="C33" s="285" t="s">
        <v>273</v>
      </c>
      <c r="D33" s="245"/>
    </row>
    <row r="34">
      <c r="A34" s="251" t="s">
        <v>267</v>
      </c>
      <c r="B34" s="259">
        <f>SUM.LEGACY(B35)</f>
        <v>185107.2</v>
      </c>
      <c r="C34" s="253"/>
      <c r="D34" s="254"/>
    </row>
    <row r="35">
      <c r="A35" s="255" t="s">
        <v>268</v>
      </c>
      <c r="B35" s="256">
        <v>185107.2</v>
      </c>
      <c r="C35" s="257" t="str">
        <f>hyperlink("https://docs.google.com/spreadsheets/d/1smBLl_b-QLSrsiM-O9EMkXaXHHSTe2HwngGUh5GB3Xg/edit?pli=1#gid=15&amp;vpid=C3","(link to breakdown on Con spreadsheet)")</f>
        <v>(link to breakdown on Con spreadsheet)</v>
      </c>
      <c r="D35" s="258"/>
    </row>
    <row r="36">
      <c r="A36" s="251" t="s">
        <v>279</v>
      </c>
      <c r="B36" s="286">
        <f>SUM.LEGACY(B37:B44)+SUM.LEGACY(B46:B51)</f>
        <v>9898</v>
      </c>
      <c r="C36" s="287"/>
      <c r="D36" s="288"/>
    </row>
    <row r="37">
      <c r="A37" s="235" t="str">
        <f>hyperlink("http://www.manliestbrony.com/blog/?p=1548","Tina Guo (August 24th, 2015)")</f>
        <v>Tina Guo (August 24th, 2015)</v>
      </c>
      <c r="B37" s="289" t="str">
        <f>hyperlink("https://www.firstgiving.com/fundraiser/manliestbrony/humanesociety","$516.00")</f>
        <v>$516.00</v>
      </c>
      <c r="C37" s="290" t="s">
        <v>280</v>
      </c>
      <c r="D37" s="238"/>
    </row>
    <row r="38">
      <c r="A38" s="239" t="str">
        <f>hyperlink("http://www.manliestbrony.com/blog/?p=1540","Nick Confalone (July 28th, 2015)")</f>
        <v>Nick Confalone (July 28th, 2015)</v>
      </c>
      <c r="B38" s="239" t="str">
        <f>hyperlink("www.firstgiving.com/fundraiser/manliestbrony/specialolympics","$805.00")</f>
        <v>$805.00</v>
      </c>
      <c r="C38" s="275" t="s">
        <v>281</v>
      </c>
      <c r="D38" s="234"/>
    </row>
    <row r="39">
      <c r="A39" s="235" t="str">
        <f>hyperlink("http://www.manliestbrony.com/blog/?p=1531","Pen Stroke (July 13th, 2015)")</f>
        <v>Pen Stroke (July 13th, 2015)</v>
      </c>
      <c r="B39" s="235" t="str">
        <f>hyperlink("https://www.firstgiving.com/fundraiser/manliestbrony/DIL","$510.00")</f>
        <v>$510.00</v>
      </c>
      <c r="C39" s="291" t="str">
        <f>hyperlink("http://www.dil.org/","Developments in Literacy")</f>
        <v>Developments in Literacy</v>
      </c>
      <c r="D39" s="238"/>
    </row>
    <row r="40">
      <c r="A40" s="239" t="str">
        <f>hyperlink("http://www.manliestbrony.com/blog/?p=1523","DJ Tetsuo (June 29th, 2015)")</f>
        <v>DJ Tetsuo (June 29th, 2015)</v>
      </c>
      <c r="B40" s="239" t="str">
        <f>hyperlink("https://www.firstgiving.com/fundraiser/manliestbrony/childsplay","$380.00")</f>
        <v>$380.00</v>
      </c>
      <c r="C40" s="292" t="str">
        <f>hyperlink("http://www.childsplaycharity.org/","Child's Play")</f>
        <v>Child's Play</v>
      </c>
      <c r="D40" s="234"/>
    </row>
    <row r="41">
      <c r="A41" s="235" t="str">
        <f>hyperlink("http://www.manliestbrony.com/blog/?p=1511","Lee Tockar (June 13th, 2015)")</f>
        <v>Lee Tockar (June 13th, 2015)</v>
      </c>
      <c r="B41" s="235" t="str">
        <f>hyperlink("https://www.canadahelps.org/en/pages/manly-challenge-the-foundation-fighting-blindness/","$891.00")</f>
        <v>$891.00</v>
      </c>
      <c r="C41" s="291" t="str">
        <f>hyperlink("http://www.ffb.ca/","Foundation Fighting Blindness")</f>
        <v>Foundation Fighting Blindness</v>
      </c>
      <c r="D41" s="237" t="s">
        <v>282</v>
      </c>
    </row>
    <row r="42">
      <c r="A42" s="239" t="str">
        <f>hyperlink("http://www.manliestbrony.com/blog/?p=1502","Bloo (May 18th, 2015)")</f>
        <v>Bloo (May 18th, 2015)</v>
      </c>
      <c r="B42" s="239" t="str">
        <f>hyperlink("https://www.firstgiving.com/fundraiser/manliestbrony/secondharvest-bloo","$1,310.00")</f>
        <v>$1,310.00</v>
      </c>
      <c r="C42" s="292" t="str">
        <f>hyperlink("http://www.shfb.org/","Second Harvest Food Bank")</f>
        <v>Second Harvest Food Bank</v>
      </c>
      <c r="D42" s="240" t="s">
        <v>283</v>
      </c>
    </row>
    <row r="43">
      <c r="A43" s="235" t="str">
        <f>hyperlink("http://www.manliestbrony.com/blog/?p=1497","Kelly Sheridan (May 4th, 2015)")</f>
        <v>Kelly Sheridan (May 4th, 2015)</v>
      </c>
      <c r="B43" s="235" t="str">
        <f>hyperlink("https://www.canadahelps.org/en/pages/manly-challenge-the-wildlife-rescue-association/","$623.00")</f>
        <v>$623.00</v>
      </c>
      <c r="C43" s="291" t="str">
        <f>hyperlink("wildliferescue.ca","The Wildlife Rescue Association of British Columbia")</f>
        <v>The Wildlife Rescue Association of British Columbia</v>
      </c>
      <c r="D43" s="238"/>
    </row>
    <row r="44">
      <c r="A44" s="239" t="str">
        <f>hyperlink("http://www.manliestbrony.com/blog/?p=1489","BABSCon Bronies")</f>
        <v>BABSCon Bronies</v>
      </c>
      <c r="B44" s="239" t="str">
        <f>hyperlink("http://www.firstgiving.com/fundraiser/manliestbrony/unicef","$715.00")</f>
        <v>$715.00</v>
      </c>
      <c r="C44" s="292" t="str">
        <f>hyperlink("http://www.unicef.org/","UNICEF's Kenyan Relief Efforts")</f>
        <v>UNICEF's Kenyan Relief Efforts</v>
      </c>
      <c r="D44" s="234"/>
    </row>
    <row r="45">
      <c r="A45" s="235" t="str">
        <f>hyperlink("http://www.manliestbrony.com/blog/?p=1484","Hoofwrestlemania 2015 @ BABSCon")</f>
        <v>Hoofwrestlemania 2015 @ BABSCon</v>
      </c>
      <c r="B45" s="277">
        <v>3320.0</v>
      </c>
      <c r="C45" s="293" t="s">
        <v>284</v>
      </c>
      <c r="D45" s="238"/>
    </row>
    <row r="46">
      <c r="A46" s="239" t="str">
        <f>hyperlink("http://www.manliestbrony.com/blog/?p=1478","Anneli Heed (March 24th, 2015)")</f>
        <v>Anneli Heed (March 24th, 2015)</v>
      </c>
      <c r="B46" s="294" t="str">
        <f>hyperlink("http://www.firstgiving.com/fundraiser/manliestbrony/fosi","$638.00")</f>
        <v>$638.00</v>
      </c>
      <c r="C46" s="292" t="str">
        <f>hyperlink("https://www.fosi.org/","The Family Online Safety Institute")</f>
        <v>The Family Online Safety Institute</v>
      </c>
      <c r="D46" s="234"/>
    </row>
    <row r="47">
      <c r="A47" s="235" t="str">
        <f>hyperlink("http://www.manliestbrony.com/blog/?p=1471","Maryke Hendrikse (March 9th, 2015)")</f>
        <v>Maryke Hendrikse (March 9th, 2015)</v>
      </c>
      <c r="B47" s="295" t="str">
        <f>hyperlink("https://www.canadahelps.org/en/pages/manly-challenge-the-british-columbia-spca/","$1090.00")</f>
        <v>$1090.00</v>
      </c>
      <c r="C47" s="291" t="str">
        <f>hyperlink("http://www.bcspca.ca/","British Columbia SPCA")</f>
        <v>British Columbia SPCA</v>
      </c>
      <c r="D47" s="237" t="s">
        <v>282</v>
      </c>
    </row>
    <row r="48">
      <c r="A48" s="239" t="str">
        <f>hyperlink("http://www.manliestbrony.com/blog/?p=1456","Will Anderson (February 23rd, 2015)")</f>
        <v>Will Anderson (February 23rd, 2015)</v>
      </c>
      <c r="B48" s="294" t="str">
        <f>hyperlink("https://www.firstgiving.com/fundraiser/manliestbrony/ridersforhealth","$735.00")</f>
        <v>$735.00</v>
      </c>
      <c r="C48" s="292" t="str">
        <f>hyperlink("http://www.riders.org/","Riders for Health")</f>
        <v>Riders for Health</v>
      </c>
      <c r="D48" s="234"/>
    </row>
    <row r="49">
      <c r="A49" s="235" t="str">
        <f>hyperlink("http://www.manliestbrony.com/blog/?p=1447","Baron Engel Flash Event (February 17th, 2015)")</f>
        <v>Baron Engel Flash Event (February 17th, 2015)</v>
      </c>
      <c r="B49" s="295" t="str">
        <f>hyperlink("https://www.firstgiving.com/fundraiser/manliestbrony/2ndharvest","$180.00")</f>
        <v>$180.00</v>
      </c>
      <c r="C49" s="291" t="str">
        <f>hyperlink("http://www.shfb.org/","Second Harvest Food Bank")</f>
        <v>Second Harvest Food Bank</v>
      </c>
      <c r="D49" s="238"/>
    </row>
    <row r="50">
      <c r="A50" s="239" t="str">
        <f>hyperlink("http://www.manliestbrony.com/blog/?p=1436","Amy Keating Rogers (February 9th, 2015)")</f>
        <v>Amy Keating Rogers (February 9th, 2015)</v>
      </c>
      <c r="B50" s="294" t="str">
        <f>hyperlink("http://www.manliestbrony.com/blog/?page_id=315","$800.00")</f>
        <v>$800.00</v>
      </c>
      <c r="C50" s="292" t="str">
        <f>hyperlink("http://fundartsnow.org/brony/","Fund Arts Now")</f>
        <v>Fund Arts Now</v>
      </c>
      <c r="D50" s="234"/>
    </row>
    <row r="51">
      <c r="A51" s="235" t="str">
        <f>hyperlink("http://www.manliestbrony.com/blog/?p=1422","Vincent Tong (January 25th, 2015)")</f>
        <v>Vincent Tong (January 25th, 2015)</v>
      </c>
      <c r="B51" s="295" t="str">
        <f>hyperlink("https://www.canadahelps.org/en/pages/manly-challenge-the-covenant-house-of-vancouver/","$705.00")</f>
        <v>$705.00</v>
      </c>
      <c r="C51" s="291" t="str">
        <f>hyperlink("http://www.covenanthousebc.org/","Covenant House Vancouver")</f>
        <v>Covenant House Vancouver</v>
      </c>
      <c r="D51" s="237" t="s">
        <v>282</v>
      </c>
    </row>
    <row r="52">
      <c r="A52" s="296" t="s">
        <v>269</v>
      </c>
      <c r="B52" s="261">
        <f>SUM(B57+B63+B56+B53)</f>
        <v>9768.25</v>
      </c>
      <c r="C52" s="297"/>
      <c r="D52" s="298"/>
    </row>
    <row r="53">
      <c r="A53" s="299" t="s">
        <v>285</v>
      </c>
      <c r="B53" s="300">
        <f>B54+B55</f>
        <v>2550</v>
      </c>
      <c r="C53" s="301" t="s">
        <v>286</v>
      </c>
      <c r="D53" s="234"/>
    </row>
    <row r="54">
      <c r="A54" s="302"/>
      <c r="B54" s="264">
        <v>550.0</v>
      </c>
      <c r="C54" s="279" t="s">
        <v>287</v>
      </c>
      <c r="D54" s="238"/>
    </row>
    <row r="55">
      <c r="A55" s="302"/>
      <c r="B55" s="264">
        <v>2000.0</v>
      </c>
      <c r="C55" s="279" t="s">
        <v>288</v>
      </c>
      <c r="D55" s="238"/>
    </row>
    <row r="56">
      <c r="A56" s="299" t="s">
        <v>289</v>
      </c>
      <c r="B56" s="303">
        <v>760.0</v>
      </c>
      <c r="C56" s="304" t="s">
        <v>290</v>
      </c>
      <c r="D56" s="234"/>
    </row>
    <row r="57">
      <c r="A57" s="239" t="str">
        <f>hyperlink("http://greymare.net/archive/","Episode 10 (January 31st, 2015)")</f>
        <v>Episode 10 (January 31st, 2015)</v>
      </c>
      <c r="B57" s="300">
        <f>SUM(B58:B62)</f>
        <v>2458.25</v>
      </c>
      <c r="C57" s="305" t="s">
        <v>286</v>
      </c>
      <c r="D57" s="234"/>
    </row>
    <row r="58">
      <c r="A58" s="237" t="s">
        <v>291</v>
      </c>
      <c r="B58" s="264">
        <v>410.0</v>
      </c>
      <c r="C58" s="291" t="str">
        <f>hyperlink("http://www.howardbrown.org/","Howard Brown Health Center")</f>
        <v>Howard Brown Health Center</v>
      </c>
      <c r="D58" s="238"/>
    </row>
    <row r="59">
      <c r="A59" s="237" t="s">
        <v>291</v>
      </c>
      <c r="B59" s="264">
        <v>500.0</v>
      </c>
      <c r="C59" s="290" t="s">
        <v>292</v>
      </c>
      <c r="D59" s="238"/>
    </row>
    <row r="60">
      <c r="A60" s="237" t="s">
        <v>293</v>
      </c>
      <c r="B60" s="264">
        <v>737.06</v>
      </c>
      <c r="C60" s="291" t="str">
        <f>hyperlink("http://furkids.org/","FurKids")</f>
        <v>FurKids</v>
      </c>
      <c r="D60" s="238"/>
    </row>
    <row r="61">
      <c r="A61" s="237" t="s">
        <v>294</v>
      </c>
      <c r="B61" s="264">
        <v>490.84</v>
      </c>
      <c r="C61" s="291" t="str">
        <f>hyperlink("http://www.howardbrown.org/","Howard Brown Health Center")</f>
        <v>Howard Brown Health Center</v>
      </c>
      <c r="D61" s="238"/>
    </row>
    <row r="62">
      <c r="A62" s="237" t="s">
        <v>295</v>
      </c>
      <c r="B62" s="264">
        <v>320.35</v>
      </c>
      <c r="C62" s="291" t="str">
        <f>hyperlink("http://www.heroinitiative.org/","Hero Initiative")</f>
        <v>Hero Initiative</v>
      </c>
      <c r="D62" s="238"/>
    </row>
    <row r="63">
      <c r="A63" s="239" t="str">
        <f>hyperlink("http://greymare.net/archive/","Episode 9 (January 11th, 2015)")</f>
        <v>Episode 9 (January 11th, 2015)</v>
      </c>
      <c r="B63" s="303">
        <v>4000.0</v>
      </c>
      <c r="C63" s="292" t="str">
        <f>hyperlink("http://www.wildlifelearningcenter.com/","Wildlife Learning Center")</f>
        <v>Wildlife Learning Center</v>
      </c>
      <c r="D63" s="234"/>
    </row>
    <row r="64">
      <c r="A64" s="251" t="s">
        <v>270</v>
      </c>
      <c r="B64" s="259">
        <f>SUM(B65)</f>
        <v>15507</v>
      </c>
      <c r="C64" s="287"/>
      <c r="D64" s="288"/>
    </row>
    <row r="65">
      <c r="A65" s="235" t="str">
        <f>hyperlink("https://www.gofundme.com/sean_rey/","Sean Rey Medical Bills Fundraiser")</f>
        <v>Sean Rey Medical Bills Fundraiser</v>
      </c>
      <c r="B65" s="277">
        <v>15507.0</v>
      </c>
      <c r="C65" s="290" t="s">
        <v>296</v>
      </c>
      <c r="D65" s="238"/>
    </row>
    <row r="66">
      <c r="A66" s="229">
        <v>2014.0</v>
      </c>
      <c r="B66" s="249">
        <f>SUM((B67+B100+B103+B137)-4314-2167)</f>
        <v>311683.86</v>
      </c>
      <c r="C66" s="250"/>
      <c r="D66" s="230"/>
    </row>
    <row r="67">
      <c r="A67" s="251" t="s">
        <v>267</v>
      </c>
      <c r="B67" s="259">
        <f>SUM.LEGACY(B68:B99)</f>
        <v>195696.35</v>
      </c>
      <c r="C67" s="253"/>
      <c r="D67" s="254"/>
    </row>
    <row r="68">
      <c r="A68" s="306" t="s">
        <v>297</v>
      </c>
      <c r="B68" s="307" t="str">
        <f>hyperlink("https://twitter.com/PonyCiderfest/status/531560990052450304","$4,887.50")</f>
        <v>$4,887.50</v>
      </c>
      <c r="C68" s="308" t="s">
        <v>298</v>
      </c>
      <c r="D68" s="309"/>
    </row>
    <row r="69">
      <c r="A69" s="310" t="s">
        <v>299</v>
      </c>
      <c r="B69" s="311" t="str">
        <f>hyperlink("http://ponycon.jp/info.html","$1,465.05")</f>
        <v>$1,465.05</v>
      </c>
      <c r="C69" s="312" t="s">
        <v>300</v>
      </c>
      <c r="D69" s="313" t="s">
        <v>301</v>
      </c>
    </row>
    <row r="70">
      <c r="A70" s="306" t="s">
        <v>302</v>
      </c>
      <c r="B70" s="307" t="str">
        <f>hyperlink("https://twitter.com/NightmareNights/status/531905397461110784","$18,392.50")</f>
        <v>$18,392.50</v>
      </c>
      <c r="C70" s="308" t="s">
        <v>303</v>
      </c>
      <c r="D70" s="309"/>
    </row>
    <row r="71">
      <c r="A71" s="314" t="str">
        <f>hyperlink("http://www.equestriadaily.com/2014/10/nightly-roundup-1074.html","'Generosity'")</f>
        <v>'Generosity'</v>
      </c>
      <c r="B71" s="315">
        <v>3770.0</v>
      </c>
      <c r="C71" s="316" t="s">
        <v>304</v>
      </c>
      <c r="D71" s="317"/>
    </row>
    <row r="72">
      <c r="A72" s="318" t="s">
        <v>305</v>
      </c>
      <c r="B72" s="319">
        <v>4017.26</v>
      </c>
      <c r="C72" s="308"/>
      <c r="D72" s="320"/>
    </row>
    <row r="73">
      <c r="A73" s="306" t="s">
        <v>306</v>
      </c>
      <c r="B73" s="319">
        <v>1232.22</v>
      </c>
      <c r="C73" s="308" t="s">
        <v>307</v>
      </c>
      <c r="D73" s="320">
        <v>767.0</v>
      </c>
    </row>
    <row r="74">
      <c r="A74" s="310" t="s">
        <v>308</v>
      </c>
      <c r="B74" s="315">
        <v>2210.02</v>
      </c>
      <c r="C74" s="312" t="s">
        <v>309</v>
      </c>
      <c r="D74" s="313" t="s">
        <v>310</v>
      </c>
    </row>
    <row r="75">
      <c r="A75" s="306" t="s">
        <v>311</v>
      </c>
      <c r="B75" s="319">
        <v>20727.09</v>
      </c>
      <c r="C75" s="321" t="str">
        <f>hyperlink("https://www.jdrf.org.uk/","JDRF UK")</f>
        <v>JDRF UK</v>
      </c>
      <c r="D75" s="320">
        <v>12500.0</v>
      </c>
    </row>
    <row r="76">
      <c r="A76" s="310" t="s">
        <v>312</v>
      </c>
      <c r="B76" s="315">
        <v>5465.07</v>
      </c>
      <c r="C76" s="312" t="s">
        <v>313</v>
      </c>
      <c r="D76" s="322"/>
    </row>
    <row r="77">
      <c r="A77" s="306" t="s">
        <v>314</v>
      </c>
      <c r="B77" s="323"/>
      <c r="C77" s="324"/>
      <c r="D77" s="309"/>
    </row>
    <row r="78">
      <c r="A78" s="310" t="s">
        <v>315</v>
      </c>
      <c r="B78" s="325"/>
      <c r="C78" s="326"/>
      <c r="D78" s="322"/>
    </row>
    <row r="79">
      <c r="A79" s="306" t="s">
        <v>316</v>
      </c>
      <c r="B79" s="319">
        <v>16602.41</v>
      </c>
      <c r="C79" s="327" t="s">
        <v>309</v>
      </c>
      <c r="D79" s="328">
        <v>12378.0</v>
      </c>
    </row>
    <row r="80">
      <c r="A80" s="310" t="s">
        <v>317</v>
      </c>
      <c r="B80" s="325"/>
      <c r="C80" s="326"/>
      <c r="D80" s="322"/>
    </row>
    <row r="81">
      <c r="A81" s="306" t="s">
        <v>318</v>
      </c>
      <c r="B81" s="319">
        <v>26877.07</v>
      </c>
      <c r="C81" s="324"/>
      <c r="D81" s="309"/>
    </row>
    <row r="82">
      <c r="A82" s="310" t="s">
        <v>319</v>
      </c>
      <c r="B82" s="329"/>
      <c r="C82" s="326"/>
      <c r="D82" s="322"/>
    </row>
    <row r="83">
      <c r="A83" s="306" t="s">
        <v>320</v>
      </c>
      <c r="B83" s="330">
        <v>1700.0</v>
      </c>
      <c r="C83" s="308" t="s">
        <v>321</v>
      </c>
      <c r="D83" s="309"/>
    </row>
    <row r="84">
      <c r="A84" s="310" t="s">
        <v>322</v>
      </c>
      <c r="B84" s="331">
        <v>5429.69</v>
      </c>
      <c r="C84" s="312" t="s">
        <v>323</v>
      </c>
      <c r="D84" s="313" t="s">
        <v>324</v>
      </c>
    </row>
    <row r="85">
      <c r="A85" s="332" t="str">
        <f>hyperlink("http://www.everfreenw.com","Everfree Northwest 2014")</f>
        <v>Everfree Northwest 2014</v>
      </c>
      <c r="B85" s="330">
        <v>40911.18</v>
      </c>
      <c r="C85" s="308" t="s">
        <v>40</v>
      </c>
      <c r="D85" s="309"/>
    </row>
    <row r="86">
      <c r="A86" s="333" t="str">
        <f>hyperlink("http://www.crystalfair.fi/","Crystal Fair")</f>
        <v>Crystal Fair</v>
      </c>
      <c r="B86" s="315">
        <v>3373.44</v>
      </c>
      <c r="C86" s="326"/>
      <c r="D86" s="334">
        <v>2480.0</v>
      </c>
    </row>
    <row r="87">
      <c r="A87" s="306" t="s">
        <v>325</v>
      </c>
      <c r="B87" s="330">
        <v>0.0</v>
      </c>
      <c r="C87" s="335" t="s">
        <v>29</v>
      </c>
      <c r="D87" s="309"/>
    </row>
    <row r="88">
      <c r="A88" s="333" t="str">
        <f>hyperlink("http://www.trotcon.com","TrotCon 2014")</f>
        <v>TrotCon 2014</v>
      </c>
      <c r="B88" s="315">
        <v>4400.0</v>
      </c>
      <c r="C88" s="312" t="s">
        <v>36</v>
      </c>
      <c r="D88" s="322"/>
    </row>
    <row r="89">
      <c r="A89" s="306" t="s">
        <v>326</v>
      </c>
      <c r="B89" s="323"/>
      <c r="C89" s="324"/>
      <c r="D89" s="309"/>
    </row>
    <row r="90">
      <c r="A90" s="310" t="s">
        <v>327</v>
      </c>
      <c r="B90" s="315">
        <v>8325.0</v>
      </c>
      <c r="C90" s="312" t="s">
        <v>31</v>
      </c>
      <c r="D90" s="322"/>
    </row>
    <row r="91">
      <c r="A91" s="306" t="s">
        <v>328</v>
      </c>
      <c r="B91" s="319">
        <v>0.0</v>
      </c>
      <c r="C91" s="335" t="s">
        <v>29</v>
      </c>
      <c r="D91" s="309"/>
    </row>
    <row r="92">
      <c r="A92" s="333" t="str">
        <f>hyperlink("http://www.mwbfkc.net","Midwest Brony Fest 2014")</f>
        <v>Midwest Brony Fest 2014</v>
      </c>
      <c r="B92" s="315">
        <v>3153.5</v>
      </c>
      <c r="C92" s="312" t="s">
        <v>26</v>
      </c>
      <c r="D92" s="322"/>
    </row>
    <row r="93">
      <c r="A93" s="332" t="str">
        <f>hyperlink("http://ponycon.jp/","Japan Ponycon 2014 Spring")</f>
        <v>Japan Ponycon 2014 Spring</v>
      </c>
      <c r="B93" s="330">
        <v>480.05</v>
      </c>
      <c r="C93" s="308" t="s">
        <v>24</v>
      </c>
      <c r="D93" s="336">
        <v>49000.0</v>
      </c>
    </row>
    <row r="94">
      <c r="A94" s="310" t="s">
        <v>329</v>
      </c>
      <c r="B94" s="325"/>
      <c r="C94" s="326"/>
      <c r="D94" s="322"/>
    </row>
    <row r="95">
      <c r="A95" s="337" t="s">
        <v>330</v>
      </c>
      <c r="B95" s="319">
        <v>20212.0</v>
      </c>
      <c r="C95" s="335" t="s">
        <v>20</v>
      </c>
      <c r="D95" s="309"/>
    </row>
    <row r="96">
      <c r="A96" s="338" t="s">
        <v>331</v>
      </c>
      <c r="B96" s="325"/>
      <c r="C96" s="326"/>
      <c r="D96" s="322"/>
    </row>
    <row r="97">
      <c r="A97" s="332" t="str">
        <f>hyperlink("http://www.ponyconau.com/","Ponycon AU 2014")</f>
        <v>Ponycon AU 2014</v>
      </c>
      <c r="B97" s="319">
        <v>2065.3</v>
      </c>
      <c r="C97" s="321" t="str">
        <f>hyperlink("http://www.beyondblue.org.au","Beyond Blue")</f>
        <v>Beyond Blue</v>
      </c>
      <c r="D97" s="339" t="s">
        <v>332</v>
      </c>
    </row>
    <row r="98">
      <c r="A98" s="310" t="s">
        <v>333</v>
      </c>
      <c r="B98" s="325"/>
      <c r="C98" s="326"/>
      <c r="D98" s="322"/>
    </row>
    <row r="99">
      <c r="A99" s="306" t="s">
        <v>334</v>
      </c>
      <c r="B99" s="323"/>
      <c r="C99" s="324"/>
      <c r="D99" s="309"/>
    </row>
    <row r="100">
      <c r="A100" s="251" t="s">
        <v>271</v>
      </c>
      <c r="B100" s="259">
        <f>SUM(B101:B102)</f>
        <v>9999.99</v>
      </c>
      <c r="C100" s="287"/>
      <c r="D100" s="288"/>
    </row>
    <row r="101">
      <c r="A101" s="340" t="s">
        <v>335</v>
      </c>
      <c r="B101" s="341">
        <v>9999.99</v>
      </c>
      <c r="C101" s="342" t="s">
        <v>336</v>
      </c>
      <c r="D101" s="238"/>
    </row>
    <row r="102">
      <c r="A102" s="231" t="s">
        <v>337</v>
      </c>
      <c r="B102" s="232"/>
      <c r="C102" s="343" t="s">
        <v>338</v>
      </c>
      <c r="D102" s="267">
        <v>1025.0</v>
      </c>
    </row>
    <row r="103">
      <c r="A103" s="251" t="s">
        <v>279</v>
      </c>
      <c r="B103" s="286">
        <f>SUM.LEGACY(B104:B130)</f>
        <v>27073</v>
      </c>
      <c r="C103" s="287"/>
      <c r="D103" s="288"/>
    </row>
    <row r="104">
      <c r="A104" s="239" t="str">
        <f>hyperlink("http://www.firstgiving.com/fundraiser/manliestbrony/ManlyChallengeWoundedWarriors2014","New Year's Eve Stream")</f>
        <v>New Year's Eve Stream</v>
      </c>
      <c r="B104" s="344" t="str">
        <f>hyperlink("http://www.firstgiving.com/fundraiser/manliestbrony/ManlyChallengeWoundedWarriors2014","$537.00")</f>
        <v>$537.00</v>
      </c>
      <c r="C104" s="292" t="str">
        <f>hyperlink("http://www.woundedwarriorproject.org/","Wounded Warrior Project")</f>
        <v>Wounded Warrior Project</v>
      </c>
      <c r="D104" s="234"/>
    </row>
    <row r="105">
      <c r="A105" s="235" t="str">
        <f>hyperlink("http://www.manliestbrony.com/blog/?p=1384","TSSSF Crew")</f>
        <v>TSSSF Crew</v>
      </c>
      <c r="B105" s="345" t="str">
        <f>hyperlink("http://www.firstgiving.com/fundraiser/manliestbrony/manlychallenge-826national-studentwritingworkshops","$625.00")</f>
        <v>$625.00</v>
      </c>
      <c r="C105" s="291" t="str">
        <f>hyperlink("http://www.826national.org/","826 National's Student Writing Workshop")</f>
        <v>826 National's Student Writing Workshop</v>
      </c>
      <c r="D105" s="238"/>
    </row>
    <row r="106">
      <c r="A106" s="239" t="str">
        <f>hyperlink("http://www.manliestbrony.com/blog/?p=1376","Hearth's Warming Eve Stream")</f>
        <v>Hearth's Warming Eve Stream</v>
      </c>
      <c r="B106" s="344" t="str">
        <f>hyperlink("https://www.firstgiving.com/fundraiser/manliestbrony/SHFB-2014","$445.00")</f>
        <v>$445.00</v>
      </c>
      <c r="C106" s="292" t="str">
        <f>hyperlink("http://www.shfb.org/","Second Harvest Food Bank")</f>
        <v>Second Harvest Food Bank</v>
      </c>
      <c r="D106" s="234"/>
    </row>
    <row r="107">
      <c r="A107" s="235" t="str">
        <f>hyperlink("http://www.manliestbrony.com/blog/?p=1361","Tommy Oliver (December 1st, 2014) / SilverSlinger (December 8th, 2014)")</f>
        <v>Tommy Oliver (December 1st, 2014) / SilverSlinger (December 8th, 2014)</v>
      </c>
      <c r="B107" s="345" t="str">
        <f>hyperlink("http://www.firstgiving.com/fundraiser/manliestbrony/spca","$865.00")</f>
        <v>$865.00</v>
      </c>
      <c r="C107" s="291" t="str">
        <f>hyperlink("http://www.aspca.org/","ASPCA")</f>
        <v>ASPCA</v>
      </c>
      <c r="D107" s="238"/>
    </row>
    <row r="108">
      <c r="A108" s="239" t="str">
        <f>hyperlink("http://www.manliestbrony.com/blog/?p=1350","Dave Hammons aka Joe Stevens (November 17th, 2014)")</f>
        <v>Dave Hammons aka Joe Stevens (November 17th, 2014)</v>
      </c>
      <c r="B108" s="344" t="str">
        <f>hyperlink("https://www.firstgiving.com/fundraiser/manliestbrony/opportunityinternational","$252.00")</f>
        <v>$252.00</v>
      </c>
      <c r="C108" s="292" t="str">
        <f>hyperlink("http://opportunity.org/","Opportunity International")</f>
        <v>Opportunity International</v>
      </c>
      <c r="D108" s="234"/>
    </row>
    <row r="109">
      <c r="A109" s="235" t="str">
        <f>hyperlink("http://www.manliestbrony.com/blog/?p=1330","DRWolf (November 3rd, 2014)")</f>
        <v>DRWolf (November 3rd, 2014)</v>
      </c>
      <c r="B109" s="345" t="str">
        <f>hyperlink("http://www.firstgiving.com/fundraiser/manliestbrony/dustyrhoadessfundraisingpage-1","$702.00")</f>
        <v>$702.00</v>
      </c>
      <c r="C109" s="291" t="str">
        <f>hyperlink("https://www.afsp.org/","The American Foundation for Suicide Prevention")</f>
        <v>The American Foundation for Suicide Prevention</v>
      </c>
      <c r="D109" s="238"/>
    </row>
    <row r="110">
      <c r="A110" s="239" t="str">
        <f>hyperlink("http://www.manliestbrony.com/blog/?p=1316","Ingrid Nilson (October 20th, 2014)")</f>
        <v>Ingrid Nilson (October 20th, 2014)</v>
      </c>
      <c r="B110" s="346">
        <v>1032.0</v>
      </c>
      <c r="C110" s="292" t="str">
        <f>hyperlink("http://projecttrue.com/","Project True")</f>
        <v>Project True</v>
      </c>
      <c r="D110" s="234"/>
    </row>
    <row r="111">
      <c r="A111" s="235" t="str">
        <f>hyperlink("http://www.manliestbrony.com/blog/?p=1301","Bronies: The Musical Cast &amp; Crew (October 6th, 2014)")</f>
        <v>Bronies: The Musical Cast &amp; Crew (October 6th, 2014)</v>
      </c>
      <c r="B111" s="345" t="str">
        <f>hyperlink("http://www.firstgiving.com/fundraiser/manliestbrony/manlychallengeloveourchildrenusa","$500.00")</f>
        <v>$500.00</v>
      </c>
      <c r="C111" s="291" t="str">
        <f>hyperlink("http://loveourchildrenusa.org/","Love Our Children USA")</f>
        <v>Love Our Children USA</v>
      </c>
      <c r="D111" s="238"/>
    </row>
    <row r="112">
      <c r="A112" s="239" t="str">
        <f>hyperlink("www.manliestbrony.com/blog/?p=1295","Rebecca Shoichet (September 22nd, 2014)")</f>
        <v>Rebecca Shoichet (September 22nd, 2014)</v>
      </c>
      <c r="B112" s="344" t="str">
        <f>hyperlink("https://www.canadahelps.org/en/pages/manly-challenge-free-the-children/","$655.00")</f>
        <v>$655.00</v>
      </c>
      <c r="C112" s="292" t="str">
        <f>hyperlink("http://freethechildren.org/","Free the Children")</f>
        <v>Free the Children</v>
      </c>
      <c r="D112" s="240" t="s">
        <v>282</v>
      </c>
    </row>
    <row r="113">
      <c r="A113" s="235" t="str">
        <f>hyperlink("http://www.manliestbrony.com/blog/?p=1273","Animated James (September 8th, 2014)")</f>
        <v>Animated James (September 8th, 2014)</v>
      </c>
      <c r="B113" s="345" t="str">
        <f>hyperlink("http://www.firstgiving.com/fundraiser/manliestbrony/manlychallengealsassociation","$810.00")</f>
        <v>$810.00</v>
      </c>
      <c r="C113" s="291" t="str">
        <f>hyperlink("http://www.alsa.org/","The ALS Association")</f>
        <v>The ALS Association</v>
      </c>
      <c r="D113" s="238"/>
    </row>
    <row r="114">
      <c r="A114" s="239" t="str">
        <f>hyperlink("http://www.manliestbrony.com/blog/?p=1245","M.A. Larson (August 25th, 2014)")</f>
        <v>M.A. Larson (August 25th, 2014)</v>
      </c>
      <c r="B114" s="344" t="str">
        <f>hyperlink("http://www.firstgiving.com/fundraiser/manliestbrony/manlychallenge-thea21campaign","$1,500.00")</f>
        <v>$1,500.00</v>
      </c>
      <c r="C114" s="292" t="str">
        <f>hyperlink("http://www.thea21campaign.org/index.php","The A21 Campaign")</f>
        <v>The A21 Campaign</v>
      </c>
      <c r="D114" s="234"/>
    </row>
    <row r="115">
      <c r="A115" s="235" t="str">
        <f>hyperlink("http://www.manliestbrony.com/blog/?p=1213","Heather Nuhfer (August 10th, 2014)")</f>
        <v>Heather Nuhfer (August 10th, 2014)</v>
      </c>
      <c r="B115" s="345" t="str">
        <f>hyperlink("http://www.firstgiving.com/fundraiser/manliestbrony/manlychallenge-thegentlebarnfoundation","$610.00")</f>
        <v>$610.00</v>
      </c>
      <c r="C115" s="291" t="str">
        <f>hyperlink("http://www.gentlebarn.org/","The Gentle Barn Foundation")</f>
        <v>The Gentle Barn Foundation</v>
      </c>
      <c r="D115" s="238"/>
    </row>
    <row r="116">
      <c r="A116" s="239" t="str">
        <f>hyperlink("http://www.manliestbrony.com/blog/?p=1198","Claire and Ian Corlett (July 27th, 2014)")</f>
        <v>Claire and Ian Corlett (July 27th, 2014)</v>
      </c>
      <c r="B116" s="344" t="str">
        <f>hyperlink("https://www.canadahelps.org/en/pages/manly-challenge-british-columbia-scpa/","$635.00")</f>
        <v>$635.00</v>
      </c>
      <c r="C116" s="292" t="str">
        <f>hyperlink("http://www.spca.bc.ca/","British Columbia SPCA")</f>
        <v>British Columbia SPCA</v>
      </c>
      <c r="D116" s="240" t="s">
        <v>282</v>
      </c>
    </row>
    <row r="117">
      <c r="A117" s="235" t="str">
        <f>hyperlink("http://www.manliestbrony.com/blog/?p=1187","Charlotte Fullerton (July 13th, 2014)")</f>
        <v>Charlotte Fullerton (July 13th, 2014)</v>
      </c>
      <c r="B117" s="345" t="str">
        <f>hyperlink("http://www.firstgiving.com/fundraiser/manliestbrony/manlychallange-multiplesclerosissociety","$2,355.00")</f>
        <v>$2,355.00</v>
      </c>
      <c r="C117" s="291" t="str">
        <f>hyperlink("http://www.nationalmssociety.org/","The National Multiple Sclerosis Society")</f>
        <v>The National Multiple Sclerosis Society</v>
      </c>
      <c r="D117" s="238"/>
    </row>
    <row r="118">
      <c r="A118" s="239" t="str">
        <f>hyperlink("http://www.manliestbrony.com/blog/?p=1166","Maddie Peters (June 30th, 2014)")</f>
        <v>Maddie Peters (June 30th, 2014)</v>
      </c>
      <c r="B118" s="344" t="str">
        <f>hyperlink("http://my.e2rm.com/PersonalPage.aspx?registrationID=2447513&amp;langPref=en-CA","$1,182.00")</f>
        <v>$1,182.00</v>
      </c>
      <c r="C118" s="292" t="str">
        <f>hyperlink("http://becauseiamagirl.ca/","Because I Am A Girl")</f>
        <v>Because I Am A Girl</v>
      </c>
      <c r="D118" s="240" t="s">
        <v>282</v>
      </c>
    </row>
    <row r="119">
      <c r="A119" s="235" t="str">
        <f>hyperlink("http://www.manliestbrony.com/blog/?p=1149","Kazumi Evans (June 14th, 2014)")</f>
        <v>Kazumi Evans (June 14th, 2014)</v>
      </c>
      <c r="B119" s="345" t="str">
        <f>hyperlink("http://www.firstgiving.com/fundraiser/manliestbrony/manlychallenge-alzheimersassociation","$717.00")</f>
        <v>$717.00</v>
      </c>
      <c r="C119" s="291" t="str">
        <f>hyperlink("http://www.alz.org/","The Alzheimer's Association")</f>
        <v>The Alzheimer's Association</v>
      </c>
      <c r="D119" s="238"/>
    </row>
    <row r="120">
      <c r="A120" s="239" t="str">
        <f>hyperlink("http://www.manliestbrony.com/blog/?p=1133","Amy Keating Rogers (June 2nd, 2014)")</f>
        <v>Amy Keating Rogers (June 2nd, 2014)</v>
      </c>
      <c r="B120" s="344" t="str">
        <f>hyperlink("http://www.firstgiving.com/fundraiser/manliestbrony/manlychallenge-epilepsfoundationofcalifornia","$1,121.00")</f>
        <v>$1,121.00</v>
      </c>
      <c r="C120" s="292" t="str">
        <f>hyperlink("http://www.epilepsynorcal.org/","The Epilepsy Foundation of California")</f>
        <v>The Epilepsy Foundation of California</v>
      </c>
      <c r="D120" s="234"/>
    </row>
    <row r="121">
      <c r="A121" s="235" t="str">
        <f>hyperlink("http://www.manliestbrony.com/blog/?p=1100","FluffyMixer (May 19th, 2014)")</f>
        <v>FluffyMixer (May 19th, 2014)</v>
      </c>
      <c r="B121" s="345" t="str">
        <f>hyperlink("http://www.firstgiving.com/fundraiser/manliestbrony/manlychallenge-philabundance","$760.00")</f>
        <v>$760.00</v>
      </c>
      <c r="C121" s="291" t="str">
        <f>hyperlink("http://www.philabundance.org/","Philabundance")</f>
        <v>Philabundance</v>
      </c>
      <c r="D121" s="238"/>
    </row>
    <row r="122">
      <c r="A122" s="239" t="str">
        <f>hyperlink("http://www.manliestbrony.com/blog/?p=1074","Brent Hodge (May 6th, 2014)")</f>
        <v>Brent Hodge (May 6th, 2014)</v>
      </c>
      <c r="B122" s="344" t="str">
        <f>hyperlink("https://www.canadahelps.org/en/pages/manly-challenge-als-society-of-canada-2/","$642.00")</f>
        <v>$642.00</v>
      </c>
      <c r="C122" s="347" t="str">
        <f>hyperlink("http://www.als.ca/en","The ALS Society of Canada")</f>
        <v>The ALS Society of Canada</v>
      </c>
      <c r="D122" s="240" t="s">
        <v>282</v>
      </c>
    </row>
    <row r="123">
      <c r="A123" s="289" t="str">
        <f>hyperlink("http://www.manliestbrony.com/blog/?p=1058","BABSCon 2014 Brawniest Brony Hoof Wrestling (April 18th, 2014)")</f>
        <v>BABSCon 2014 Brawniest Brony Hoof Wrestling (April 18th, 2014)</v>
      </c>
      <c r="B123" s="348">
        <v>6522.0</v>
      </c>
      <c r="C123" s="349" t="s">
        <v>339</v>
      </c>
      <c r="D123" s="238"/>
    </row>
    <row r="124">
      <c r="A124" s="239" t="str">
        <f>hyperlink("http://www.manliestbrony.com/blog/?p=1051","The Brony Chef (April 7th, 2014)")</f>
        <v>The Brony Chef (April 7th, 2014)</v>
      </c>
      <c r="B124" s="344" t="str">
        <f>hyperlink("https://www.canadahelps.org/en/pages/manly-challenge-nofcc/","$236.00")</f>
        <v>$236.00</v>
      </c>
      <c r="C124" s="292" t="str">
        <f>hyperlink("http://www.nofcc.ca/","Northern Ontario Families of Children with Cancer")</f>
        <v>Northern Ontario Families of Children with Cancer</v>
      </c>
      <c r="D124" s="240" t="s">
        <v>282</v>
      </c>
    </row>
    <row r="125">
      <c r="A125" s="235" t="str">
        <f>hyperlink("http://www.manliestbrony.com/blog/?p=1044","Terry Klassen (March 24th, 2014)")</f>
        <v>Terry Klassen (March 24th, 2014)</v>
      </c>
      <c r="B125" s="345" t="str">
        <f>hyperlink("http://www.firstgiving.com/fundraiser/manliestbrony/manlychallengedaysendfarmhorserescue","$201.00")</f>
        <v>$201.00</v>
      </c>
      <c r="C125" s="291" t="str">
        <f>hyperlink("http://www.defhr.org/home.html","Day's End Farm Horse Rescue")</f>
        <v>Day's End Farm Horse Rescue</v>
      </c>
      <c r="D125" s="238"/>
    </row>
    <row r="126">
      <c r="A126" s="239" t="str">
        <f>hyperlink("https://www.giveforward.com/fundraiser/m584/-bronygranny-nees","Peter New &amp; Tabitha St. Germain (March 7th, 2014)")</f>
        <v>Peter New &amp; Tabitha St. Germain (March 7th, 2014)</v>
      </c>
      <c r="B126" s="344" t="str">
        <f>hyperlink("https://www.giveforward.com/fundraiser/m584/-bronygranny-nees","$471.00")</f>
        <v>$471.00</v>
      </c>
      <c r="C126" s="292" t="str">
        <f>hyperlink("https://www.giveforward.com/fundraiser/m584/-bronygranny-nees","Helping Brony Granny Part 2")</f>
        <v>Helping Brony Granny Part 2</v>
      </c>
      <c r="D126" s="234"/>
    </row>
    <row r="127">
      <c r="A127" s="235" t="str">
        <f>hyperlink("http://www.manliestbrony.com/blog/?p=1018","Michael Dobson (February 23rd, 2014)")</f>
        <v>Michael Dobson (February 23rd, 2014)</v>
      </c>
      <c r="B127" s="345" t="str">
        <f>hyperlink("https://www.canadahelps.org/en/pages/manly-challenge-rare-disease-foundation/","$660.00")</f>
        <v>$660.00</v>
      </c>
      <c r="C127" s="291" t="str">
        <f>hyperlink("http://www.rarediseasefoundation.org/","Rare Disease Foundation")</f>
        <v>Rare Disease Foundation</v>
      </c>
      <c r="D127" s="237" t="s">
        <v>282</v>
      </c>
    </row>
    <row r="128">
      <c r="A128" s="239" t="str">
        <f>hyperlink("http://www.manliestbrony.com/blog/?p=1007","Ari &amp; Sarah Fader (February 10th, 2014)")</f>
        <v>Ari &amp; Sarah Fader (February 10th, 2014)</v>
      </c>
      <c r="B128" s="344" t="str">
        <f>hyperlink("http://www.firstgiving.com/fundraiser/manliestbrony/manlychallenge-coalitionforthehomeless","$615.00")</f>
        <v>$615.00</v>
      </c>
      <c r="C128" s="292" t="str">
        <f>hyperlink("http://www.coalitionforthehomeless.org/","Coalition for the Homeless")</f>
        <v>Coalition for the Homeless</v>
      </c>
      <c r="D128" s="234"/>
    </row>
    <row r="129">
      <c r="A129" s="235" t="str">
        <f>hyperlink("http://www.manliestbrony.com/blog/?p=990","BABSCon Committee (January 27th, 2014)")</f>
        <v>BABSCon Committee (January 27th, 2014)</v>
      </c>
      <c r="B129" s="345" t="str">
        <f>hyperlink("https://www.giveforward.com/fundraiser/jgw3/heat-wave-s-oral-health","$1,203.00")</f>
        <v>$1,203.00</v>
      </c>
      <c r="C129" s="291" t="str">
        <f>hyperlink("https://www.giveforward.com/fundraiser/jgw3/heat-wave-s-oral-health","Andrew Morales Dental Fund")</f>
        <v>Andrew Morales Dental Fund</v>
      </c>
      <c r="D129" s="238"/>
    </row>
    <row r="130">
      <c r="A130" s="239" t="str">
        <f>hyperlink("http://www.manliestbrony.com/blog/?p=976","SophieCabra (January 3rd, 2014)")</f>
        <v>SophieCabra (January 3rd, 2014)</v>
      </c>
      <c r="B130" s="344" t="str">
        <f>hyperlink("http://www.firstgiving.com/fundraiser/manliestbrony/manlychallenge-denverdumbfriendsleague","$1,220.00")</f>
        <v>$1,220.00</v>
      </c>
      <c r="C130" s="292" t="str">
        <f>hyperlink("http://www.ddfl.org/","Denver Dumb Friends League")</f>
        <v>Denver Dumb Friends League</v>
      </c>
      <c r="D130" s="234"/>
    </row>
    <row r="131">
      <c r="A131" s="296" t="s">
        <v>269</v>
      </c>
      <c r="B131" s="261">
        <f>SUM(B132+B133+B136)</f>
        <v>5197.65</v>
      </c>
      <c r="C131" s="297"/>
      <c r="D131" s="298"/>
    </row>
    <row r="132">
      <c r="A132" s="239" t="str">
        <f>hyperlink("http://greymare.net/archive/","Episode 8 (December 20th, 2014)")</f>
        <v>Episode 8 (December 20th, 2014)</v>
      </c>
      <c r="B132" s="303">
        <v>1350.0</v>
      </c>
      <c r="C132" s="292" t="str">
        <f>hyperlink("http://www.aspca.org/","ASPCA")</f>
        <v>ASPCA</v>
      </c>
      <c r="D132" s="234"/>
    </row>
    <row r="133">
      <c r="A133" s="239" t="str">
        <f>hyperlink("http://greymare.net/archive/","Episode 7 (December 6th, 2014)")</f>
        <v>Episode 7 (December 6th, 2014)</v>
      </c>
      <c r="B133" s="232">
        <f>SUM(B134:B135)</f>
        <v>1246.65</v>
      </c>
      <c r="C133" s="350" t="s">
        <v>286</v>
      </c>
      <c r="D133" s="234"/>
    </row>
    <row r="134">
      <c r="A134" s="351"/>
      <c r="B134" s="352">
        <v>1100.0</v>
      </c>
      <c r="C134" s="353" t="str">
        <f>hyperlink("http://www.animalallies.net/","Animal Allies Humane Society")</f>
        <v>Animal Allies Humane Society</v>
      </c>
      <c r="D134" s="238"/>
    </row>
    <row r="135">
      <c r="A135" s="351"/>
      <c r="B135" s="341">
        <v>146.65</v>
      </c>
      <c r="C135" s="291" t="str">
        <f>hyperlink("http://www.feedingamerica.org/","Feeding America")</f>
        <v>Feeding America</v>
      </c>
      <c r="D135" s="238"/>
    </row>
    <row r="136">
      <c r="A136" s="239" t="str">
        <f>hyperlink("http://greymare.net/archive/","Episode 6 (November 22nd, 2014)")</f>
        <v>Episode 6 (November 22nd, 2014)</v>
      </c>
      <c r="B136" s="294" t="str">
        <f>hyperlink("https://twitter.com/greymareshow/status/536601651499790339","$2,601.00")</f>
        <v>$2,601.00</v>
      </c>
      <c r="C136" s="292" t="str">
        <f>hyperlink("http://www.equalitynow.org/","Equality Now")</f>
        <v>Equality Now</v>
      </c>
      <c r="D136" s="234"/>
    </row>
    <row r="137">
      <c r="A137" s="251" t="s">
        <v>270</v>
      </c>
      <c r="B137" s="259">
        <f>SUM(B138:B142)</f>
        <v>85395.52</v>
      </c>
      <c r="C137" s="287"/>
      <c r="D137" s="288"/>
    </row>
    <row r="138">
      <c r="A138" s="239" t="str">
        <f>hyperlink("https://www.fimfiction.net/blog/285586/charity-stream-wrap-up-and-youtube-recording","FimFiction Kidscape Livestream")</f>
        <v>FimFiction Kidscape Livestream</v>
      </c>
      <c r="B138" s="267">
        <v>6249.52</v>
      </c>
      <c r="C138" s="354"/>
      <c r="D138" s="234"/>
    </row>
    <row r="139">
      <c r="A139" s="235" t="str">
        <f>hyperlink("http://www.gofundme.com/isqgrw","JJ's Medical Fund")</f>
        <v>JJ's Medical Fund</v>
      </c>
      <c r="B139" s="341">
        <v>3200.0</v>
      </c>
      <c r="C139" s="355"/>
      <c r="D139" s="238"/>
    </row>
    <row r="140">
      <c r="A140" s="239" t="str">
        <f>hyperlink("http://www.gofundme.com/MichaelMoronesFund","Michael Morones Recovery Fund")</f>
        <v>Michael Morones Recovery Fund</v>
      </c>
      <c r="B140" s="267">
        <v>74766.0</v>
      </c>
      <c r="C140" s="350" t="s">
        <v>340</v>
      </c>
      <c r="D140" s="234"/>
    </row>
    <row r="141">
      <c r="A141" s="235" t="str">
        <f>hyperlink("http://southernbelleaj.com/post/92080580457/fundraiser-help-bring-my-brother-home","Fundraiser for Casy")</f>
        <v>Fundraiser for Casy</v>
      </c>
      <c r="B141" s="277">
        <v>1100.0</v>
      </c>
      <c r="C141" s="290" t="s">
        <v>341</v>
      </c>
      <c r="D141" s="238"/>
    </row>
    <row r="142">
      <c r="A142" s="240" t="s">
        <v>342</v>
      </c>
      <c r="B142" s="274">
        <v>80.0</v>
      </c>
      <c r="C142" s="275" t="s">
        <v>343</v>
      </c>
      <c r="D142" s="234"/>
    </row>
    <row r="143">
      <c r="A143" s="229">
        <v>2013.0</v>
      </c>
      <c r="B143" s="228">
        <f>SUM(B144+B160+B168+B197)</f>
        <v>294952.43</v>
      </c>
      <c r="C143" s="250"/>
      <c r="D143" s="230"/>
    </row>
    <row r="144">
      <c r="A144" s="296" t="s">
        <v>267</v>
      </c>
      <c r="B144" s="261">
        <f>SUM(B145:B159)</f>
        <v>117989.54</v>
      </c>
      <c r="C144" s="297"/>
      <c r="D144" s="288"/>
    </row>
    <row r="145">
      <c r="A145" s="231" t="s">
        <v>344</v>
      </c>
      <c r="B145" s="356">
        <v>2110.03</v>
      </c>
      <c r="C145" s="354"/>
      <c r="D145" s="357">
        <v>2200.0</v>
      </c>
    </row>
    <row r="146">
      <c r="A146" s="340" t="s">
        <v>345</v>
      </c>
      <c r="B146" s="277">
        <v>12242.0</v>
      </c>
      <c r="C146" s="342" t="s">
        <v>346</v>
      </c>
      <c r="D146" s="238"/>
    </row>
    <row r="147">
      <c r="A147" s="231" t="s">
        <v>347</v>
      </c>
      <c r="B147" s="356">
        <v>4286.08</v>
      </c>
      <c r="C147" s="350" t="s">
        <v>348</v>
      </c>
      <c r="D147" s="358">
        <v>3110.0</v>
      </c>
    </row>
    <row r="148">
      <c r="A148" s="340" t="s">
        <v>349</v>
      </c>
      <c r="B148" s="359">
        <v>3500.0</v>
      </c>
      <c r="C148" s="342" t="s">
        <v>350</v>
      </c>
      <c r="D148" s="238"/>
    </row>
    <row r="149">
      <c r="A149" s="231" t="s">
        <v>351</v>
      </c>
      <c r="B149" s="356">
        <v>3143.98</v>
      </c>
      <c r="C149" s="350" t="s">
        <v>352</v>
      </c>
      <c r="D149" s="360">
        <v>1700.0</v>
      </c>
    </row>
    <row r="150">
      <c r="A150" s="242" t="s">
        <v>353</v>
      </c>
      <c r="B150" s="361">
        <v>7930.48</v>
      </c>
      <c r="C150" s="362" t="s">
        <v>354</v>
      </c>
      <c r="D150" s="363">
        <v>8336.0</v>
      </c>
    </row>
    <row r="151">
      <c r="A151" s="231" t="s">
        <v>355</v>
      </c>
      <c r="B151" s="356">
        <v>12492.42</v>
      </c>
      <c r="C151" s="350" t="s">
        <v>356</v>
      </c>
      <c r="D151" s="360">
        <v>8025.0</v>
      </c>
    </row>
    <row r="152">
      <c r="A152" s="340" t="s">
        <v>357</v>
      </c>
      <c r="B152" s="359">
        <v>15419.11</v>
      </c>
      <c r="C152" s="364" t="s">
        <v>358</v>
      </c>
      <c r="D152" s="365">
        <v>11632.0</v>
      </c>
    </row>
    <row r="153">
      <c r="A153" s="231" t="s">
        <v>359</v>
      </c>
      <c r="B153" s="356">
        <v>23000.0</v>
      </c>
      <c r="C153" s="350" t="s">
        <v>360</v>
      </c>
      <c r="D153" s="366" t="s">
        <v>361</v>
      </c>
    </row>
    <row r="154">
      <c r="A154" s="340" t="s">
        <v>362</v>
      </c>
      <c r="B154" s="359">
        <v>1606.0</v>
      </c>
      <c r="C154" s="342" t="s">
        <v>363</v>
      </c>
      <c r="D154" s="238"/>
    </row>
    <row r="155">
      <c r="A155" s="231" t="s">
        <v>364</v>
      </c>
      <c r="B155" s="356">
        <v>21099.44</v>
      </c>
      <c r="C155" s="350" t="s">
        <v>40</v>
      </c>
      <c r="D155" s="234"/>
    </row>
    <row r="156">
      <c r="A156" s="340" t="s">
        <v>365</v>
      </c>
      <c r="B156" s="359">
        <v>2000.0</v>
      </c>
      <c r="C156" s="342" t="s">
        <v>366</v>
      </c>
      <c r="D156" s="238"/>
    </row>
    <row r="157">
      <c r="A157" s="231" t="s">
        <v>367</v>
      </c>
      <c r="B157" s="356">
        <v>7480.0</v>
      </c>
      <c r="C157" s="350" t="s">
        <v>368</v>
      </c>
      <c r="D157" s="234"/>
    </row>
    <row r="158">
      <c r="A158" s="340" t="s">
        <v>369</v>
      </c>
      <c r="B158" s="359">
        <v>680.0</v>
      </c>
      <c r="C158" s="342" t="s">
        <v>370</v>
      </c>
      <c r="D158" s="238"/>
    </row>
    <row r="159">
      <c r="A159" s="231" t="s">
        <v>371</v>
      </c>
      <c r="B159" s="367">
        <f>1000</f>
        <v>1000</v>
      </c>
      <c r="C159" s="350" t="s">
        <v>309</v>
      </c>
      <c r="D159" s="234"/>
    </row>
    <row r="160">
      <c r="A160" s="368" t="s">
        <v>271</v>
      </c>
      <c r="B160" s="259">
        <f>SUM(B161:B167)</f>
        <v>67707.62</v>
      </c>
      <c r="C160" s="369"/>
      <c r="D160" s="370"/>
    </row>
    <row r="161">
      <c r="A161" s="371">
        <v>41632.0</v>
      </c>
      <c r="B161" s="274">
        <v>50000.0</v>
      </c>
      <c r="C161" s="275" t="s">
        <v>372</v>
      </c>
      <c r="D161" s="234"/>
    </row>
    <row r="162">
      <c r="A162" s="372">
        <v>41596.0</v>
      </c>
      <c r="B162" s="277">
        <v>1517.0</v>
      </c>
      <c r="C162" s="290" t="s">
        <v>373</v>
      </c>
      <c r="D162" s="238"/>
    </row>
    <row r="163">
      <c r="A163" s="371">
        <v>41441.0</v>
      </c>
      <c r="B163" s="274">
        <v>2515.71</v>
      </c>
      <c r="C163" s="275" t="s">
        <v>374</v>
      </c>
      <c r="D163" s="234"/>
    </row>
    <row r="164">
      <c r="A164" s="372">
        <v>41409.0</v>
      </c>
      <c r="B164" s="277">
        <v>2000.0</v>
      </c>
      <c r="C164" s="290" t="s">
        <v>375</v>
      </c>
      <c r="D164" s="238"/>
    </row>
    <row r="165">
      <c r="A165" s="371">
        <v>41360.0</v>
      </c>
      <c r="B165" s="274">
        <v>1598.52</v>
      </c>
      <c r="C165" s="275" t="s">
        <v>376</v>
      </c>
      <c r="D165" s="234"/>
    </row>
    <row r="166">
      <c r="A166" s="372">
        <v>41360.0</v>
      </c>
      <c r="B166" s="277">
        <v>1598.52</v>
      </c>
      <c r="C166" s="290" t="s">
        <v>377</v>
      </c>
      <c r="D166" s="238"/>
    </row>
    <row r="167">
      <c r="A167" s="371">
        <v>41348.0</v>
      </c>
      <c r="B167" s="274">
        <v>8477.87</v>
      </c>
      <c r="C167" s="275" t="s">
        <v>375</v>
      </c>
      <c r="D167" s="234"/>
    </row>
    <row r="168">
      <c r="A168" s="251" t="s">
        <v>279</v>
      </c>
      <c r="B168" s="259">
        <f>SUM.LEGACY(B169:B196)</f>
        <v>26071</v>
      </c>
      <c r="C168" s="373"/>
      <c r="D168" s="288"/>
    </row>
    <row r="169">
      <c r="A169" s="239" t="str">
        <f>hyperlink("http://www.manliestbrony.com/blog/?p=960","Dave Polsky (December 29, 2013)")</f>
        <v>Dave Polsky (December 29, 2013)</v>
      </c>
      <c r="B169" s="294" t="str">
        <f>hyperlink("https://www.canadahelps.org/en/pages/manly-challenge-typhoon-haiyan-relief/","$633.00")</f>
        <v>$633.00</v>
      </c>
      <c r="C169" s="347" t="str">
        <f>hyperlink("http://www.redcross.ca/","Typhoon Haiyan Relief (Red Cross of Canada)")</f>
        <v>Typhoon Haiyan Relief (Red Cross of Canada)</v>
      </c>
      <c r="D169" s="240" t="s">
        <v>282</v>
      </c>
    </row>
    <row r="170">
      <c r="A170" s="289" t="str">
        <f>hyperlink("http://www.manliestbrony.com/blog/?p=940","Flash Event (December 25, 2013)")</f>
        <v>Flash Event (December 25, 2013)</v>
      </c>
      <c r="B170" s="295" t="str">
        <f>hyperlink("http://www.firstgiving.com/fundraiser/manliestbrony/manlychallengesecondharvestfoodbank","$220.00")</f>
        <v>$220.00</v>
      </c>
      <c r="C170" s="374" t="str">
        <f>hyperlink("http://www.shfb.org/","Second Harvest Food Bank")</f>
        <v>Second Harvest Food Bank</v>
      </c>
      <c r="D170" s="238"/>
    </row>
    <row r="171">
      <c r="A171" s="239" t="str">
        <f>hyperlink("http://www.manliestbrony.com/blog/?p=920","Josefina Hylen (December 17, 2013)")</f>
        <v>Josefina Hylen (December 17, 2013)</v>
      </c>
      <c r="B171" s="303">
        <v>650.0</v>
      </c>
      <c r="C171" s="347" t="str">
        <f>hyperlink("http://seejane.org/","The Geena Davis Institute")</f>
        <v>The Geena Davis Institute</v>
      </c>
      <c r="D171" s="234"/>
    </row>
    <row r="172">
      <c r="A172" s="235" t="str">
        <f>hyperlink("http://www.manliestbrony.com/blog/?p=901","Sibsy (December 2, 2013)")</f>
        <v>Sibsy (December 2, 2013)</v>
      </c>
      <c r="B172" s="295" t="str">
        <f>hyperlink("https://www.canadahelps.org/en/pages/manly-challenge-bc-lions-society/","$728.00")</f>
        <v>$728.00</v>
      </c>
      <c r="C172" s="374" t="str">
        <f>hyperlink("http://lionsbc.ca/","BC Lions Society for Children with Disabilities")</f>
        <v>BC Lions Society for Children with Disabilities</v>
      </c>
      <c r="D172" s="237" t="s">
        <v>282</v>
      </c>
    </row>
    <row r="173">
      <c r="A173" s="239" t="str">
        <f>hyperlink("http://www.manliestbrony.com/blog/?p=880","Bronyville Podcast (November 19, 2013)")</f>
        <v>Bronyville Podcast (November 19, 2013)</v>
      </c>
      <c r="B173" s="294" t="str">
        <f>hyperlink("http://www.firstgiving.com/fundraiser/manliestbrony/manlychallenge-stjudechildrensresearchhospital","$790.00")</f>
        <v>$790.00</v>
      </c>
      <c r="C173" s="347" t="str">
        <f>hyperlink("http://www.stjude.org/stjude/v/index.jsp?vgnextoid=7b22b46b476a7410VgnVCM100000290115acRCRD","St. Jude Children's Research Hospital")</f>
        <v>St. Jude Children's Research Hospital</v>
      </c>
      <c r="D173" s="234"/>
    </row>
    <row r="174">
      <c r="A174" s="235" t="str">
        <f>hyperlink("http://www.manliestbrony.com/blog/?p=868","Casey Robin (November 4, 2013)")</f>
        <v>Casey Robin (November 4, 2013)</v>
      </c>
      <c r="B174" s="295" t="str">
        <f>hyperlink("http://www.firstgiving.com/fundraiser/manliestbrony/manlychallenge-unicef","$673.00")</f>
        <v>$673.00</v>
      </c>
      <c r="C174" s="374" t="str">
        <f>hyperlink("http://www.unicef.org/","UNICEF")</f>
        <v>UNICEF</v>
      </c>
      <c r="D174" s="238"/>
    </row>
    <row r="175">
      <c r="A175" s="239" t="str">
        <f>hyperlink("http://www.manliestbrony.com/blog/?p=830","Michelle Creber (October 20, 2013)")</f>
        <v>Michelle Creber (October 20, 2013)</v>
      </c>
      <c r="B175" s="294" t="str">
        <f>hyperlink("http://my.e2rm.com/personalPage.aspx?registrationID=2165250&amp;langPref=en-CA","$700.00")</f>
        <v>$700.00</v>
      </c>
      <c r="C175" s="347" t="str">
        <f>hyperlink("http://plan-international.org/girls/","Plan International 'Because I Am A Girl' Classroom Fund")</f>
        <v>Plan International 'Because I Am A Girl' Classroom Fund</v>
      </c>
      <c r="D175" s="234"/>
    </row>
    <row r="176">
      <c r="A176" s="235" t="str">
        <f>hyperlink("http://www.manliestbrony.com/blog/?p=809","Eile Monty (October 6, 2013)")</f>
        <v>Eile Monty (October 6, 2013)</v>
      </c>
      <c r="B176" s="295" t="str">
        <f>hyperlink("http://www.firstgiving.com/fundraiser/manliestbrony/manlychallengecrohnsandcolitisfoundationofamerica","$680.00")</f>
        <v>$680.00</v>
      </c>
      <c r="C176" s="374" t="str">
        <f>hyperlink("http://www.ccfa.org/","The Crohn's &amp; Colitis Foundation of America")</f>
        <v>The Crohn's &amp; Colitis Foundation of America</v>
      </c>
      <c r="D176" s="238"/>
    </row>
    <row r="177">
      <c r="A177" s="239" t="str">
        <f>hyperlink("http://www.manliestbrony.com/blog/?p=780","SnowflakeIRL (September 18, 2013)")</f>
        <v>SnowflakeIRL (September 18, 2013)</v>
      </c>
      <c r="B177" s="294" t="str">
        <f>hyperlink("http://www.firstgiving.com/fundraiser/manliestbrony/manlychallengeorangewoodchildrensfoundation","$630.00")</f>
        <v>$630.00</v>
      </c>
      <c r="C177" s="347" t="str">
        <f>hyperlink("http://www.orangewoodfoundation.org/","The Orangewood Children's Foundation")</f>
        <v>The Orangewood Children's Foundation</v>
      </c>
      <c r="D177" s="234"/>
    </row>
    <row r="178">
      <c r="A178" s="235" t="str">
        <f>hyperlink("http://www.manliestbrony.com/blog/?p=743","Mandopony &amp; AcousticBrony (September 9, 2013)")</f>
        <v>Mandopony &amp; AcousticBrony (September 9, 2013)</v>
      </c>
      <c r="B178" s="295" t="str">
        <f>hyperlink("https://www.giveforward.com/fundraiser/h913/bronygranny-brony-mommy-need-your-help","$6,525.00")</f>
        <v>$6,525.00</v>
      </c>
      <c r="C178" s="374" t="str">
        <f>hyperlink("https://www.giveforward.com/fundraiser/h913/bronygranny-brony-mommy-need-your-help","Medical Support: BronyGranny and BronyMommy")</f>
        <v>Medical Support: BronyGranny and BronyMommy</v>
      </c>
      <c r="D178" s="238"/>
    </row>
    <row r="179">
      <c r="A179" s="239" t="str">
        <f>hyperlink("http://www.manliestbrony.com/blog/?p=717","Brent Hodge (August 26, 2013)")</f>
        <v>Brent Hodge (August 26, 2013)</v>
      </c>
      <c r="B179" s="294" t="str">
        <f>hyperlink("https://www.canadahelps.org/en/pages/manly-challenge-als-society-of-canada/","$640.00")</f>
        <v>$640.00</v>
      </c>
      <c r="C179" s="347" t="str">
        <f>hyperlink("http://www.als.ca/en","The ALS Society of Canada")</f>
        <v>The ALS Society of Canada</v>
      </c>
      <c r="D179" s="240" t="s">
        <v>282</v>
      </c>
    </row>
    <row r="180">
      <c r="A180" s="235" t="str">
        <f>hyperlink("http://www.manliestbrony.com/blog/?p=697","BronyCAN Convention Committee (August 12, 2013)")</f>
        <v>BronyCAN Convention Committee (August 12, 2013)</v>
      </c>
      <c r="B180" s="295" t="str">
        <f>hyperlink("https://www.canadahelps.org/en/pages/manly-challenge-bc-childrens-hospital-foudnation/","$620.00")</f>
        <v>$620.00</v>
      </c>
      <c r="C180" s="374" t="str">
        <f>hyperlink("http://www.bcchf.ca/","B.C. Children's Hospital")</f>
        <v>B.C. Children's Hospital</v>
      </c>
      <c r="D180" s="237" t="s">
        <v>282</v>
      </c>
    </row>
    <row r="181">
      <c r="A181" s="239" t="str">
        <f>hyperlink("http://www.manliestbrony.com/blog/?p=675","Tabitha St. Germain (July 27, 2013)")</f>
        <v>Tabitha St. Germain (July 27, 2013)</v>
      </c>
      <c r="B181" s="294" t="str">
        <f>hyperlink("https://www.canadahelps.org/en/pages/manly-challenge-society-promoting-environmental-co/","$915.00")</f>
        <v>$915.00</v>
      </c>
      <c r="C181" s="347" t="str">
        <f>hyperlink("http://www.spec.bc.ca/","SPEC - The Society Promoting Environmental Conservation")</f>
        <v>SPEC - The Society Promoting Environmental Conservation</v>
      </c>
      <c r="D181" s="240" t="s">
        <v>282</v>
      </c>
    </row>
    <row r="182">
      <c r="A182" s="235" t="str">
        <f>hyperlink("http://www.manliestbrony.com/blog/?p=656","Tony Fleecs (July 15, 2013)")</f>
        <v>Tony Fleecs (July 15, 2013)</v>
      </c>
      <c r="B182" s="295" t="str">
        <f>hyperlink("http://www.firstgiving.com/fundraiser/manliestbrony/dustyrhoadessfundraisingpage","$610.00")</f>
        <v>$610.00</v>
      </c>
      <c r="C182" s="374" t="str">
        <f>hyperlink("http://www.heroinitiative.org/","The Hero Initiative")</f>
        <v>The Hero Initiative</v>
      </c>
      <c r="D182" s="238"/>
    </row>
    <row r="183">
      <c r="A183" s="239" t="str">
        <f>hyperlink("http://www.manliestbrony.com/blog/?p=642","EFNW Staff (July 1, 2013)")</f>
        <v>EFNW Staff (July 1, 2013)</v>
      </c>
      <c r="B183" s="294" t="str">
        <f>hyperlink("http://www.firstgiving.com/fundraiser/manliestbrony/manlychallengeseattlechildrenshospital","$1,101.00")</f>
        <v>$1,101.00</v>
      </c>
      <c r="C183" s="347" t="str">
        <f>hyperlink("http://www.seattlechildrens.org/","The Seattle Children's Hospital Foundation")</f>
        <v>The Seattle Children's Hospital Foundation</v>
      </c>
      <c r="D183" s="234"/>
    </row>
    <row r="184">
      <c r="A184" s="235" t="str">
        <f>hyperlink("http://www.manliestbrony.com/blog/?p=628","Nicole Oliver (June 17, 2013)")</f>
        <v>Nicole Oliver (June 17, 2013)</v>
      </c>
      <c r="B184" s="295" t="str">
        <f>hyperlink("https://www.canadahelps.org/en/pages/manly-challenge-the-heart-and-stroke-foundation/","$688.00")</f>
        <v>$688.00</v>
      </c>
      <c r="C184" s="374" t="str">
        <f>hyperlink("http://www.heartandstroke.bc.ca/","The Heart and Stroke Foundation")</f>
        <v>The Heart and Stroke Foundation</v>
      </c>
      <c r="D184" s="237" t="s">
        <v>282</v>
      </c>
    </row>
    <row r="185">
      <c r="A185" s="239" t="str">
        <f>hyperlink("http://www.manliestbrony.com/blog/?p=589","Andrea Libman (June 2, 2013)")</f>
        <v>Andrea Libman (June 2, 2013)</v>
      </c>
      <c r="B185" s="294" t="str">
        <f>hyperlink("http://www.conquercancer.ca/site/TR/Events/Vancouver2013?px=3108963&amp;pg=personal&amp;fr_id=1441","$733.00")</f>
        <v>$733.00</v>
      </c>
      <c r="C185" s="347" t="str">
        <f>hyperlink("http://www.conquercancer.ca/site/TR/Events/Vancouver2013?px=3108963&amp;pg=personal&amp;fr_id=1441","The Ride Against Cancer")</f>
        <v>The Ride Against Cancer</v>
      </c>
      <c r="D185" s="234"/>
    </row>
    <row r="186">
      <c r="A186" s="235" t="str">
        <f>hyperlink("http://www.manliestbrony.com/blog/?p=566","Brenda Crichlow (May 20, 2013)")</f>
        <v>Brenda Crichlow (May 20, 2013)</v>
      </c>
      <c r="B186" s="295" t="str">
        <f>hyperlink("https://www.canadahelps.org/en/pages/manly-challenge-ywca-metro-vancouver/","$500.00")</f>
        <v>$500.00</v>
      </c>
      <c r="C186" s="374" t="str">
        <f>hyperlink("http://www.ywcavan.org/","The YMCA of Metro Vancouver")</f>
        <v>The YMCA of Metro Vancouver</v>
      </c>
      <c r="D186" s="237" t="s">
        <v>282</v>
      </c>
    </row>
    <row r="187">
      <c r="A187" s="239" t="str">
        <f>hyperlink("http://www.manliestbrony.com/blog/?p=532","Cathy Weseluck (May 5, 2013)")</f>
        <v>Cathy Weseluck (May 5, 2013)</v>
      </c>
      <c r="B187" s="294" t="str">
        <f>hyperlink("https://www.canadahelps.org/en/pages/manly-challenge-canadian-senior-artists-resource-n/","$538.00")</f>
        <v>$538.00</v>
      </c>
      <c r="C187" s="347" t="str">
        <f>hyperlink("http://csarn-craac.ca/en/home.php","The Canadian Senior Artists Resources Network")</f>
        <v>The Canadian Senior Artists Resources Network</v>
      </c>
      <c r="D187" s="240" t="s">
        <v>282</v>
      </c>
    </row>
    <row r="188">
      <c r="A188" s="235" t="str">
        <f>hyperlink("http://www.manliestbrony.com/blog/?p=497","Amy Keating Rogers (April 29, 2013)")</f>
        <v>Amy Keating Rogers (April 29, 2013)</v>
      </c>
      <c r="B188" s="264">
        <v>782.0</v>
      </c>
      <c r="C188" s="374" t="str">
        <f>hyperlink("http://www.collegeviewglendale.org/","College View School aka Soren's School")</f>
        <v>College View School aka Soren's School</v>
      </c>
      <c r="D188" s="238"/>
    </row>
    <row r="189">
      <c r="A189" s="375" t="str">
        <f>hyperlink("http://www.firstgiving.com/fundraiser/manliestbrony/manlychallengeredcrossofmassachutesettesbaboston","Steffan Andrews")</f>
        <v>Steffan Andrews</v>
      </c>
      <c r="B189" s="294" t="str">
        <f>hyperlink("http://www.firstgiving.com/fundraiser/manliestbrony/manlychallengeredcrossofmassachutesettesbaboston","$734.00")</f>
        <v>$734.00</v>
      </c>
      <c r="C189" s="347" t="str">
        <f>hyperlink("http://www.redcross.org/ma/boston","The American Red Cross of Massachusetts (Bay)")</f>
        <v>The American Red Cross of Massachusetts (Bay)</v>
      </c>
      <c r="D189" s="234"/>
    </row>
    <row r="190">
      <c r="A190" s="235" t="str">
        <f>hyperlink("http://www.manliestbrony.com/blog/?p=410","G.M. Berrow (April 6, 2013)")</f>
        <v>G.M. Berrow (April 6, 2013)</v>
      </c>
      <c r="B190" s="295" t="str">
        <f>hyperlink("http://www.firstgiving.com/fundraiser/manliestbrony/manlychallengejoyfulheartfoundation","$519.00")</f>
        <v>$519.00</v>
      </c>
      <c r="C190" s="374" t="str">
        <f>hyperlink("http://www.joyfulheartfoundation.org/","The Joyful Heart Foundation")</f>
        <v>The Joyful Heart Foundation</v>
      </c>
      <c r="D190" s="238"/>
    </row>
    <row r="191">
      <c r="A191" s="239" t="str">
        <f>hyperlink("http://www.manliestbrony.com/blog/?p=388","Andrew Francis (March 30, 2013)")</f>
        <v>Andrew Francis (March 30, 2013)</v>
      </c>
      <c r="B191" s="303">
        <v>680.0</v>
      </c>
      <c r="C191" s="347" t="str">
        <f>hyperlink("https://www.giveforward.com/fundraiser/vd31/supportkikiscancerfund","Kiki Havivy Treatment Fund")</f>
        <v>Kiki Havivy Treatment Fund</v>
      </c>
      <c r="D191" s="234"/>
    </row>
    <row r="192">
      <c r="A192" s="235" t="str">
        <f>hyperlink("http://www.manliestbrony.com/blog/?p=352","Sam Vincent &amp; Matt Hill (March 23, 2013)")</f>
        <v>Sam Vincent &amp; Matt Hill (March 23, 2013)</v>
      </c>
      <c r="B192" s="295" t="str">
        <f>hyperlink("http://www.firstgiving.com/fundraiser/manliestbrony/manychallengeaspergersyndromandhighfunctioningauti","$764.00")</f>
        <v>$764.00</v>
      </c>
      <c r="C192" s="374" t="str">
        <f>hyperlink("http://ahany.org/","AHA-New York")</f>
        <v>AHA-New York</v>
      </c>
      <c r="D192" s="238"/>
    </row>
    <row r="193">
      <c r="A193" s="239" t="str">
        <f>hyperlink("http://www.manliestbrony.com/blog/?p=239","Cindy Morrow (March 18, 2013)")</f>
        <v>Cindy Morrow (March 18, 2013)</v>
      </c>
      <c r="B193" s="294" t="str">
        <f>hyperlink("http://www.firstgiving.com/fundraiser/manliestbrony/manlychallengethelustgartenfoundationcindymorrow","$1,044.00")</f>
        <v>$1,044.00</v>
      </c>
      <c r="C193" s="347" t="str">
        <f>hyperlink("http://lustgarten.org/","The Lustgarten Foundation")</f>
        <v>The Lustgarten Foundation</v>
      </c>
      <c r="D193" s="234"/>
    </row>
    <row r="194">
      <c r="A194" s="235" t="str">
        <f>hyperlink("http://www.manliestbrony.com/blog/?p=261","Maryke Hendrikse (March 11, 2013)")</f>
        <v>Maryke Hendrikse (March 11, 2013)</v>
      </c>
      <c r="B194" s="295" t="str">
        <f>hyperlink("http://www.firstgiving.com/fundraiser/manliestbrony/themanlychallengehomelessanimalrescueteamofcincinn","$749.00")</f>
        <v>$749.00</v>
      </c>
      <c r="C194" s="374" t="str">
        <f>hyperlink("https://www.rescueahart.org/","Homeless Animal Rescue Team (HART) of Cincinatti")</f>
        <v>Homeless Animal Rescue Team (HART) of Cincinatti</v>
      </c>
      <c r="D194" s="238"/>
    </row>
    <row r="195">
      <c r="A195" s="239" t="str">
        <f>hyperlink("www.manliestbrony.com/blog/?p=222","Lee Tockar (March 5, 2013)")</f>
        <v>Lee Tockar (March 5, 2013)</v>
      </c>
      <c r="B195" s="294" t="str">
        <f>hyperlink("https://ffb.donorportal.ca/Donation/InHonour.aspx?L=en-CA&amp;G=39&amp;F=618&amp;T=INHON","$1025.00")</f>
        <v>$1025.00</v>
      </c>
      <c r="C195" s="347" t="str">
        <f>hyperlink("http://www.ffb.ca/","Foundation Fighting Blindness")</f>
        <v>Foundation Fighting Blindness</v>
      </c>
      <c r="D195" s="240" t="s">
        <v>282</v>
      </c>
    </row>
    <row r="196">
      <c r="A196" s="235" t="str">
        <f>hyperlink("http://www.manliestbrony.com/blog/?p=158","Kelly Metzger (February 17, 2013)")</f>
        <v>Kelly Metzger (February 17, 2013)</v>
      </c>
      <c r="B196" s="295" t="str">
        <f>hyperlink("http://www.firstgiving.com/fundraiser/manliestbrony/themanlychallengewwfcanada","$1200.00")</f>
        <v>$1200.00</v>
      </c>
      <c r="C196" s="291" t="str">
        <f>hyperlink("http://www.wwf.ca/","World Wildlife Fund Canada")</f>
        <v>World Wildlife Fund Canada</v>
      </c>
      <c r="D196" s="237" t="s">
        <v>282</v>
      </c>
    </row>
    <row r="197">
      <c r="A197" s="296" t="s">
        <v>270</v>
      </c>
      <c r="B197" s="261">
        <f>SUM.LEGACY(B198:B199)</f>
        <v>83184.27</v>
      </c>
      <c r="C197" s="297"/>
      <c r="D197" s="288"/>
    </row>
    <row r="198">
      <c r="A198" s="235" t="str">
        <f>hyperlink("http://www.conquercancer.ca/site/TR/Events/Vancouver2013?px=3108963&amp;pg=personal&amp;fr_id=1441","Andrea Libman's Ride to Conquer Cancer")</f>
        <v>Andrea Libman's Ride to Conquer Cancer</v>
      </c>
      <c r="B198" s="264">
        <v>19061.27</v>
      </c>
      <c r="C198" s="291" t="str">
        <f>hyperlink("http://bccancerfoundation.com/","BC Cancer Foundation")</f>
        <v>BC Cancer Foundation</v>
      </c>
      <c r="D198" s="237" t="s">
        <v>378</v>
      </c>
    </row>
    <row r="199">
      <c r="A199" s="239" t="str">
        <f>hyperlink("https://www.giveforward.com/fundraiser/vd31/supportkikiscancerfund","Support Kiki's Treatment Fund")</f>
        <v>Support Kiki's Treatment Fund</v>
      </c>
      <c r="B199" s="294" t="str">
        <f>hyperlink("https://www.giveforward.com/fundraiser/vd31/supportkikiscancerfund","$64,123.00")</f>
        <v>$64,123.00</v>
      </c>
      <c r="C199" s="275" t="s">
        <v>379</v>
      </c>
      <c r="D199" s="234"/>
    </row>
    <row r="200">
      <c r="A200" s="229" t="s">
        <v>380</v>
      </c>
      <c r="B200" s="249">
        <f>SUM(B201+B210+B214+B220+B226)</f>
        <v>202277.73</v>
      </c>
      <c r="C200" s="250"/>
      <c r="D200" s="230"/>
    </row>
    <row r="201">
      <c r="A201" s="376" t="s">
        <v>267</v>
      </c>
      <c r="B201" s="261">
        <f>SUM(B202:B209)</f>
        <v>53623.73</v>
      </c>
      <c r="C201" s="288"/>
      <c r="D201" s="288"/>
    </row>
    <row r="202">
      <c r="A202" s="377" t="s">
        <v>381</v>
      </c>
      <c r="B202" s="378">
        <v>11655.33</v>
      </c>
      <c r="C202" s="379" t="s">
        <v>382</v>
      </c>
      <c r="D202" s="309"/>
    </row>
    <row r="203">
      <c r="A203" s="380" t="s">
        <v>383</v>
      </c>
      <c r="B203" s="378">
        <v>2419.65</v>
      </c>
      <c r="C203" s="379"/>
      <c r="D203" s="309"/>
    </row>
    <row r="204">
      <c r="A204" s="313" t="s">
        <v>384</v>
      </c>
      <c r="B204" s="381">
        <v>5792.62</v>
      </c>
      <c r="C204" s="382" t="s">
        <v>385</v>
      </c>
      <c r="D204" s="383">
        <v>3687.96</v>
      </c>
    </row>
    <row r="205">
      <c r="A205" s="377" t="s">
        <v>386</v>
      </c>
      <c r="B205" s="378">
        <v>13535.0</v>
      </c>
      <c r="C205" s="379" t="s">
        <v>40</v>
      </c>
      <c r="D205" s="309"/>
    </row>
    <row r="206">
      <c r="A206" s="313" t="s">
        <v>387</v>
      </c>
      <c r="B206" s="381">
        <v>10051.13</v>
      </c>
      <c r="C206" s="382" t="s">
        <v>309</v>
      </c>
      <c r="D206" s="334">
        <v>8145.0</v>
      </c>
    </row>
    <row r="207">
      <c r="A207" s="377" t="s">
        <v>388</v>
      </c>
      <c r="B207" s="378">
        <v>700.0</v>
      </c>
      <c r="C207" s="379" t="s">
        <v>36</v>
      </c>
      <c r="D207" s="309"/>
    </row>
    <row r="208">
      <c r="A208" s="313" t="s">
        <v>389</v>
      </c>
      <c r="B208" s="381">
        <v>8000.0</v>
      </c>
      <c r="C208" s="382" t="s">
        <v>368</v>
      </c>
      <c r="D208" s="322"/>
    </row>
    <row r="209">
      <c r="A209" s="317" t="s">
        <v>390</v>
      </c>
      <c r="B209" s="381">
        <v>1470.0</v>
      </c>
      <c r="C209" s="382"/>
      <c r="D209" s="322"/>
    </row>
    <row r="210">
      <c r="A210" s="296" t="s">
        <v>271</v>
      </c>
      <c r="B210" s="261">
        <f>SUM(B211:B213)</f>
        <v>18960</v>
      </c>
      <c r="C210" s="297"/>
      <c r="D210" s="298"/>
    </row>
    <row r="211">
      <c r="A211" s="384">
        <v>41065.0</v>
      </c>
      <c r="B211" s="385">
        <f>1000</f>
        <v>1000</v>
      </c>
      <c r="C211" s="275" t="s">
        <v>391</v>
      </c>
      <c r="D211" s="234"/>
    </row>
    <row r="212">
      <c r="A212" s="386">
        <v>41109.0</v>
      </c>
      <c r="B212" s="277">
        <v>6000.0</v>
      </c>
      <c r="C212" s="290" t="s">
        <v>391</v>
      </c>
      <c r="D212" s="238"/>
    </row>
    <row r="213">
      <c r="A213" s="384">
        <v>41169.0</v>
      </c>
      <c r="B213" s="274">
        <v>11960.0</v>
      </c>
      <c r="C213" s="275" t="s">
        <v>392</v>
      </c>
      <c r="D213" s="234"/>
    </row>
    <row r="214">
      <c r="A214" s="296" t="s">
        <v>393</v>
      </c>
      <c r="B214" s="261">
        <f>SUM(B215:B219)</f>
        <v>96434</v>
      </c>
      <c r="C214" s="297"/>
      <c r="D214" s="288"/>
    </row>
    <row r="215">
      <c r="A215" s="240" t="s">
        <v>394</v>
      </c>
      <c r="B215" s="274">
        <v>21121.0</v>
      </c>
      <c r="C215" s="234"/>
      <c r="D215" s="234"/>
    </row>
    <row r="216">
      <c r="A216" s="237" t="s">
        <v>395</v>
      </c>
      <c r="B216" s="264">
        <v>44531.0</v>
      </c>
      <c r="C216" s="237" t="s">
        <v>396</v>
      </c>
      <c r="D216" s="365">
        <v>39931.0</v>
      </c>
    </row>
    <row r="217">
      <c r="A217" s="240" t="s">
        <v>397</v>
      </c>
      <c r="B217" s="264">
        <v>27556.0</v>
      </c>
      <c r="C217" s="237" t="s">
        <v>396</v>
      </c>
      <c r="D217" s="387">
        <v>24710.0</v>
      </c>
    </row>
    <row r="218">
      <c r="A218" s="237" t="s">
        <v>398</v>
      </c>
      <c r="B218" s="264">
        <v>960.0</v>
      </c>
      <c r="C218" s="237" t="s">
        <v>396</v>
      </c>
      <c r="D218" s="365">
        <v>861.0</v>
      </c>
    </row>
    <row r="219">
      <c r="A219" s="240" t="s">
        <v>399</v>
      </c>
      <c r="B219" s="385">
        <f>2266</f>
        <v>2266</v>
      </c>
      <c r="C219" s="234"/>
      <c r="D219" s="234"/>
    </row>
    <row r="220">
      <c r="A220" s="296" t="s">
        <v>269</v>
      </c>
      <c r="B220" s="261">
        <f>SUM.LEGACY(B221:B225)</f>
        <v>3020</v>
      </c>
      <c r="C220" s="297"/>
      <c r="D220" s="298"/>
    </row>
    <row r="221">
      <c r="A221" s="240" t="s">
        <v>400</v>
      </c>
      <c r="B221" s="294" t="str">
        <f>hyperlink("http://greymare.net/archive/","$1290.00")</f>
        <v>$1290.00</v>
      </c>
      <c r="C221" s="292" t="str">
        <f t="shared" ref="C221:C224" si="2">hyperlink("http://www.care.org/","CARE")</f>
        <v>CARE</v>
      </c>
      <c r="D221" s="234"/>
    </row>
    <row r="222">
      <c r="A222" s="340" t="s">
        <v>401</v>
      </c>
      <c r="B222" s="295" t="str">
        <f>hyperlink("http://greymare.net/archive/","$900.00")</f>
        <v>$900.00</v>
      </c>
      <c r="C222" s="291" t="str">
        <f t="shared" si="2"/>
        <v>CARE</v>
      </c>
      <c r="D222" s="238"/>
    </row>
    <row r="223">
      <c r="A223" s="231" t="s">
        <v>402</v>
      </c>
      <c r="B223" s="294" t="str">
        <f>hyperlink("http://greymare.net/archive/","$380.00")</f>
        <v>$380.00</v>
      </c>
      <c r="C223" s="292" t="str">
        <f t="shared" si="2"/>
        <v>CARE</v>
      </c>
      <c r="D223" s="234"/>
    </row>
    <row r="224">
      <c r="A224" s="340" t="s">
        <v>403</v>
      </c>
      <c r="B224" s="295" t="str">
        <f>hyperlink("http://greymare.net/archive/","$50.00")</f>
        <v>$50.00</v>
      </c>
      <c r="C224" s="291" t="str">
        <f t="shared" si="2"/>
        <v>CARE</v>
      </c>
      <c r="D224" s="238"/>
    </row>
    <row r="225">
      <c r="A225" s="231" t="s">
        <v>404</v>
      </c>
      <c r="B225" s="294" t="str">
        <f>hyperlink("http://greymare.net/archive/","$400.00")</f>
        <v>$400.00</v>
      </c>
      <c r="C225" s="292" t="str">
        <f>hyperlink("http://www.mdanderson.org/","The University of Texas MD Anderson Cancer Center")</f>
        <v>The University of Texas MD Anderson Cancer Center</v>
      </c>
      <c r="D225" s="234"/>
    </row>
    <row r="226">
      <c r="A226" s="296" t="s">
        <v>270</v>
      </c>
      <c r="B226" s="261">
        <f>SUM.LEGACY(B227:B228)</f>
        <v>30240</v>
      </c>
      <c r="C226" s="297"/>
      <c r="D226" s="298"/>
    </row>
    <row r="227">
      <c r="A227" s="235" t="str">
        <f>hyperlink("http://www.roundstable.com/2012/04/29/charitython-exceeds-5k-goal-for-madeline-peters-charity/","Traveling Pony Museum Charitython for Inked! Art for Africa")</f>
        <v>Traveling Pony Museum Charitython for Inked! Art for Africa</v>
      </c>
      <c r="B227" s="264">
        <v>4941.0</v>
      </c>
      <c r="C227" s="290" t="s">
        <v>405</v>
      </c>
      <c r="D227" s="237" t="s">
        <v>406</v>
      </c>
    </row>
    <row r="228">
      <c r="A228" s="240" t="s">
        <v>407</v>
      </c>
      <c r="B228" s="294" t="str">
        <f>hyperlink("https://www.reddit.com/r/TheLastAirbender/comments/10017k/benders_vs_bronies_final_results/","$25,299.00")</f>
        <v>$25,299.00</v>
      </c>
      <c r="C228" s="275" t="s">
        <v>408</v>
      </c>
      <c r="D228" s="234"/>
    </row>
    <row r="229">
      <c r="A229" s="355"/>
      <c r="B229" s="388"/>
      <c r="C229" s="241"/>
      <c r="D229" s="238"/>
    </row>
  </sheetData>
  <drawing r:id="rId2"/>
  <legacyDrawing r:id="rId3"/>
  <tableParts count="2">
    <tablePart r:id="rId6"/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4.43" defaultRowHeight="12.75"/>
  <cols>
    <col customWidth="1" min="1" max="1" width="37.86"/>
    <col customWidth="1" min="2" max="2" width="7.14"/>
    <col customWidth="1" min="3" max="3" width="15.71"/>
    <col customWidth="1" min="4" max="4" width="11.14"/>
    <col customWidth="1" min="5" max="5" width="23.57"/>
    <col customWidth="1" min="6" max="6" width="25.71"/>
    <col customWidth="1" min="7" max="7" width="13.0"/>
    <col customWidth="1" min="8" max="9" width="9.71"/>
    <col customWidth="1" min="10" max="10" width="10.29"/>
    <col customWidth="1" min="11" max="11" width="10.71"/>
    <col customWidth="1" min="12" max="12" width="9.0"/>
    <col customWidth="1" min="13" max="13" width="15.43"/>
    <col customWidth="1" min="14" max="14" width="9.57"/>
    <col customWidth="1" min="15" max="15" width="8.0"/>
    <col customWidth="1" min="16" max="16" width="16.14"/>
    <col customWidth="1" min="17" max="17" width="18.43"/>
    <col customWidth="1" min="18" max="18" width="8.71"/>
    <col customWidth="1" min="19" max="19" width="17.29"/>
    <col customWidth="1" min="20" max="20" width="8.71"/>
    <col customWidth="1" min="21" max="21" width="8.14"/>
  </cols>
  <sheetData>
    <row r="1">
      <c r="A1" s="389" t="s">
        <v>409</v>
      </c>
      <c r="B1" s="390"/>
      <c r="C1" s="391" t="s">
        <v>410</v>
      </c>
      <c r="D1" s="392"/>
      <c r="E1" s="1"/>
      <c r="F1" s="1"/>
      <c r="G1" s="393" t="s">
        <v>411</v>
      </c>
      <c r="H1" s="394"/>
      <c r="I1" s="394"/>
      <c r="J1" s="394"/>
      <c r="K1" s="394"/>
      <c r="L1" s="395"/>
      <c r="M1" s="396" t="s">
        <v>412</v>
      </c>
      <c r="N1" s="394"/>
      <c r="O1" s="397"/>
      <c r="P1" s="398" t="s">
        <v>413</v>
      </c>
      <c r="Q1" s="399"/>
      <c r="R1" s="399"/>
      <c r="S1" s="400"/>
      <c r="T1" s="398" t="s">
        <v>414</v>
      </c>
      <c r="U1" s="390"/>
    </row>
    <row r="2">
      <c r="A2" s="401" t="s">
        <v>130</v>
      </c>
      <c r="B2" s="402" t="s">
        <v>415</v>
      </c>
      <c r="C2" s="403" t="s">
        <v>416</v>
      </c>
      <c r="D2" s="404" t="s">
        <v>417</v>
      </c>
      <c r="E2" s="405" t="s">
        <v>418</v>
      </c>
      <c r="F2" s="405" t="s">
        <v>419</v>
      </c>
      <c r="G2" s="406" t="s">
        <v>420</v>
      </c>
      <c r="H2" s="406" t="s">
        <v>421</v>
      </c>
      <c r="I2" s="406" t="s">
        <v>422</v>
      </c>
      <c r="J2" s="406" t="s">
        <v>423</v>
      </c>
      <c r="K2" s="406" t="s">
        <v>424</v>
      </c>
      <c r="L2" s="407" t="s">
        <v>425</v>
      </c>
      <c r="M2" s="408" t="s">
        <v>426</v>
      </c>
      <c r="N2" s="406" t="s">
        <v>427</v>
      </c>
      <c r="O2" s="403" t="s">
        <v>428</v>
      </c>
      <c r="P2" s="409" t="s">
        <v>429</v>
      </c>
      <c r="Q2" s="402" t="s">
        <v>430</v>
      </c>
      <c r="R2" s="402" t="s">
        <v>431</v>
      </c>
      <c r="S2" s="407" t="s">
        <v>432</v>
      </c>
      <c r="T2" s="409" t="s">
        <v>433</v>
      </c>
      <c r="U2" s="402" t="s">
        <v>434</v>
      </c>
    </row>
    <row r="3">
      <c r="A3" s="410">
        <v>2014.0</v>
      </c>
      <c r="B3" s="411"/>
      <c r="C3" s="412"/>
      <c r="D3" s="413"/>
      <c r="E3" s="414"/>
      <c r="F3" s="414"/>
      <c r="G3" s="414"/>
      <c r="H3" s="414"/>
      <c r="I3" s="414"/>
      <c r="J3" s="414"/>
      <c r="K3" s="414"/>
      <c r="L3" s="412"/>
      <c r="M3" s="413"/>
      <c r="N3" s="414"/>
      <c r="O3" s="412"/>
      <c r="P3" s="415"/>
      <c r="Q3" s="416"/>
      <c r="R3" s="414"/>
      <c r="S3" s="412"/>
      <c r="T3" s="413"/>
      <c r="U3" s="414"/>
    </row>
    <row r="4">
      <c r="A4" s="417" t="str">
        <f>hyperlink("http://www.crystalfair.fi/","Crystal Fair")</f>
        <v>Crystal Fair</v>
      </c>
      <c r="B4" s="418">
        <v>3.0</v>
      </c>
      <c r="C4" s="419">
        <f>IFERROR(__xludf.DUMMYFUNCTION("80*GoogleFinance(""CURRENCY:EURUSD"")"),97.33232)</f>
        <v>97.33232</v>
      </c>
      <c r="D4" s="420">
        <f t="shared" ref="D4:D9" si="1">SUM(C4/B4)</f>
        <v>32.44410667</v>
      </c>
      <c r="E4" s="421">
        <f>SUM((D4-D37)/D37)</f>
        <v>0.5572860889</v>
      </c>
      <c r="F4" s="421">
        <f>SUM((D4-D36)/D36)</f>
        <v>0.7696785455</v>
      </c>
      <c r="G4" s="422"/>
      <c r="H4" s="422"/>
      <c r="I4" s="422"/>
      <c r="J4" s="422"/>
      <c r="K4" s="422"/>
      <c r="L4" s="419"/>
      <c r="M4" s="420">
        <f>IFERROR(__xludf.DUMMYFUNCTION("35*GoogleFinance(""CURRENCY:EURUSD"")"),42.58289)</f>
        <v>42.58289</v>
      </c>
      <c r="N4" s="422">
        <f>IFERROR(__xludf.DUMMYFUNCTION("35*GoogleFinance(""CURRENCY:EURUSD"")"),42.58289)</f>
        <v>42.58289</v>
      </c>
      <c r="O4" s="419">
        <f>IFERROR(__xludf.DUMMYFUNCTION("35*GoogleFinance(""CURRENCY:EURUSD"")"),42.58289)</f>
        <v>42.58289</v>
      </c>
      <c r="P4" s="423"/>
      <c r="Q4" s="424"/>
      <c r="R4" s="422"/>
      <c r="S4" s="419"/>
      <c r="T4" s="420"/>
      <c r="U4" s="422"/>
    </row>
    <row r="5">
      <c r="A5" s="425" t="str">
        <f>hyperlink("http://www.everfreenw.com","Everfree Northwest 2014")</f>
        <v>Everfree Northwest 2014</v>
      </c>
      <c r="B5" s="426">
        <v>3.0</v>
      </c>
      <c r="C5" s="427">
        <v>55.0</v>
      </c>
      <c r="D5" s="428">
        <f t="shared" si="1"/>
        <v>18.33333333</v>
      </c>
      <c r="E5" s="429">
        <f>SUM((D5-D37)/D37)</f>
        <v>-0.1200175349</v>
      </c>
      <c r="F5" s="429">
        <f>SUM((D5-D36)/D36)</f>
        <v>0</v>
      </c>
      <c r="G5" s="430"/>
      <c r="H5" s="430"/>
      <c r="I5" s="430"/>
      <c r="J5" s="430"/>
      <c r="K5" s="430"/>
      <c r="L5" s="431"/>
      <c r="M5" s="432">
        <v>30.0</v>
      </c>
      <c r="N5" s="433">
        <v>30.0</v>
      </c>
      <c r="O5" s="427">
        <v>25.0</v>
      </c>
      <c r="P5" s="434"/>
      <c r="Q5" s="426" t="s">
        <v>435</v>
      </c>
      <c r="R5" s="430"/>
      <c r="S5" s="431"/>
      <c r="T5" s="428"/>
      <c r="U5" s="430"/>
    </row>
    <row r="6">
      <c r="A6" s="435" t="str">
        <f>hyperlink("http://bronyexpo.com/","Brony Expo")</f>
        <v>Brony Expo</v>
      </c>
      <c r="B6" s="436">
        <v>2.0</v>
      </c>
      <c r="C6" s="419">
        <f>IFERROR(__xludf.DUMMYFUNCTION("50*GoogleFinance(""CURRENCY:CADUSD"")"),41.378745)</f>
        <v>41.378745</v>
      </c>
      <c r="D6" s="420">
        <f t="shared" si="1"/>
        <v>20.6893725</v>
      </c>
      <c r="E6" s="421">
        <f>SUM((D6-D37)/D37)</f>
        <v>-0.0069299083</v>
      </c>
      <c r="F6" s="421">
        <f>SUM((D6-D36)/D36)</f>
        <v>0.1285112273</v>
      </c>
      <c r="G6" s="422">
        <f>IFERROR(__xludf.DUMMYFUNCTION("200*GoogleFinance(""CURRENCY:CADUSD"")"),165.51498)</f>
        <v>165.51498</v>
      </c>
      <c r="H6" s="422">
        <f>IFERROR(__xludf.DUMMYFUNCTION("275*GoogleFinance(""CURRENCY:CADUSD"")"),227.5830975)</f>
        <v>227.5830975</v>
      </c>
      <c r="I6" s="422">
        <f>IFERROR(__xludf.DUMMYFUNCTION("500*GoogleFinance(""CURRENCY:CADUSD"")"),413.78745)</f>
        <v>413.78745</v>
      </c>
      <c r="J6" s="422">
        <f>IFERROR(__xludf.DUMMYFUNCTION("1000*GoogleFinance(""CURRENCY:CADUSD"")"),827.5749)</f>
        <v>827.5749</v>
      </c>
      <c r="K6" s="422">
        <f>IFERROR(__xludf.DUMMYFUNCTION("2500*GoogleFinance(""CURRENCY:CADUSD"")"),2068.93725)</f>
        <v>2068.93725</v>
      </c>
      <c r="L6" s="419"/>
      <c r="M6" s="437"/>
      <c r="N6" s="438"/>
      <c r="O6" s="439"/>
      <c r="P6" s="423"/>
      <c r="Q6" s="424"/>
      <c r="R6" s="422"/>
      <c r="S6" s="419"/>
      <c r="T6" s="420"/>
      <c r="U6" s="422"/>
    </row>
    <row r="7">
      <c r="A7" s="425" t="str">
        <f>hyperlink("http://www.fiestaequestria.com/","Fiesta Equestria 2014")</f>
        <v>Fiesta Equestria 2014</v>
      </c>
      <c r="B7" s="426">
        <v>3.0</v>
      </c>
      <c r="C7" s="440">
        <v>45.0</v>
      </c>
      <c r="D7" s="428">
        <f t="shared" si="1"/>
        <v>15</v>
      </c>
      <c r="E7" s="429">
        <f>SUM((D7-D37)/D37)</f>
        <v>-0.2800143467</v>
      </c>
      <c r="F7" s="429">
        <f>SUM((D7-D36)/D36)</f>
        <v>-0.1818181818</v>
      </c>
      <c r="G7" s="433">
        <v>120.0</v>
      </c>
      <c r="H7" s="430"/>
      <c r="I7" s="430"/>
      <c r="J7" s="430"/>
      <c r="K7" s="430"/>
      <c r="L7" s="431"/>
      <c r="M7" s="441"/>
      <c r="N7" s="442"/>
      <c r="O7" s="443"/>
      <c r="P7" s="444" t="s">
        <v>436</v>
      </c>
      <c r="Q7" s="445" t="s">
        <v>437</v>
      </c>
      <c r="R7" s="430"/>
      <c r="S7" s="431"/>
      <c r="T7" s="428"/>
      <c r="U7" s="430"/>
    </row>
    <row r="8">
      <c r="A8" s="435" t="str">
        <f>hyperlink("http://mylittleponycon.com/","My Little Pony Fair 2014")</f>
        <v>My Little Pony Fair 2014</v>
      </c>
      <c r="B8" s="436">
        <v>2.0</v>
      </c>
      <c r="C8" s="446">
        <v>40.0</v>
      </c>
      <c r="D8" s="420">
        <f t="shared" si="1"/>
        <v>20</v>
      </c>
      <c r="E8" s="421">
        <f>SUM((D8-D37)/D37)</f>
        <v>-0.04001912895</v>
      </c>
      <c r="F8" s="421">
        <f>SUM((D8-D36)/D36)</f>
        <v>0.09090909091</v>
      </c>
      <c r="G8" s="447">
        <v>100.0</v>
      </c>
      <c r="H8" s="447">
        <v>110.0</v>
      </c>
      <c r="I8" s="447">
        <v>130.0</v>
      </c>
      <c r="J8" s="422"/>
      <c r="K8" s="422"/>
      <c r="L8" s="419"/>
      <c r="M8" s="437"/>
      <c r="N8" s="438"/>
      <c r="O8" s="439"/>
      <c r="P8" s="423"/>
      <c r="Q8" s="436" t="s">
        <v>438</v>
      </c>
      <c r="R8" s="422"/>
      <c r="S8" s="419"/>
      <c r="T8" s="420"/>
      <c r="U8" s="422"/>
    </row>
    <row r="9">
      <c r="A9" s="425" t="str">
        <f>hyperlink("http://www.bronycon.org","BronyCon 2014")</f>
        <v>BronyCon 2014</v>
      </c>
      <c r="B9" s="426">
        <v>3.0</v>
      </c>
      <c r="C9" s="427">
        <v>70.0</v>
      </c>
      <c r="D9" s="428">
        <f t="shared" si="1"/>
        <v>23.33333333</v>
      </c>
      <c r="E9" s="429">
        <f>SUM((D9-D37)/D37)</f>
        <v>0.1199776829</v>
      </c>
      <c r="F9" s="429">
        <f>SUM((D9-D36)/D36)</f>
        <v>0.2727272727</v>
      </c>
      <c r="G9" s="433">
        <v>125.0</v>
      </c>
      <c r="H9" s="433">
        <v>250.0</v>
      </c>
      <c r="I9" s="433">
        <v>500.0</v>
      </c>
      <c r="J9" s="433">
        <v>1000.0</v>
      </c>
      <c r="K9" s="433">
        <v>2000.0</v>
      </c>
      <c r="L9" s="431"/>
      <c r="M9" s="432">
        <v>45.0</v>
      </c>
      <c r="N9" s="433">
        <v>45.0</v>
      </c>
      <c r="O9" s="427">
        <v>35.0</v>
      </c>
      <c r="P9" s="444" t="s">
        <v>436</v>
      </c>
      <c r="Q9" s="445" t="s">
        <v>439</v>
      </c>
      <c r="R9" s="430"/>
      <c r="S9" s="431"/>
      <c r="T9" s="428"/>
      <c r="U9" s="430"/>
    </row>
    <row r="10">
      <c r="A10" s="435" t="str">
        <f>hyperlink("http://con.sibbrony.ru/","SibBroniKon")</f>
        <v>SibBroniKon</v>
      </c>
      <c r="B10" s="424"/>
      <c r="C10" s="419"/>
      <c r="D10" s="420"/>
      <c r="E10" s="421"/>
      <c r="F10" s="421"/>
      <c r="G10" s="422"/>
      <c r="H10" s="422"/>
      <c r="I10" s="422"/>
      <c r="J10" s="422"/>
      <c r="K10" s="422"/>
      <c r="L10" s="419"/>
      <c r="M10" s="420"/>
      <c r="N10" s="422"/>
      <c r="O10" s="419"/>
      <c r="P10" s="423"/>
      <c r="Q10" s="424"/>
      <c r="R10" s="422"/>
      <c r="S10" s="419"/>
      <c r="T10" s="420"/>
      <c r="U10" s="422"/>
    </row>
    <row r="11">
      <c r="A11" s="425" t="str">
        <f>hyperlink("http://www.galacon.eu","GalaCon 2014")</f>
        <v>GalaCon 2014</v>
      </c>
      <c r="B11" s="426">
        <v>2.0</v>
      </c>
      <c r="C11" s="431">
        <f>IFERROR(__xludf.DUMMYFUNCTION("64*GoogleFinance(""CURRENCY:EURUSD"")"),77.865856)</f>
        <v>77.865856</v>
      </c>
      <c r="D11" s="428">
        <f t="shared" ref="D11:D13" si="2">SUM(C11/B11)</f>
        <v>38.932928</v>
      </c>
      <c r="E11" s="429">
        <f>SUM((D11-D37)/D37)</f>
        <v>0.8687433067</v>
      </c>
      <c r="F11" s="429">
        <f>SUM((D11-D36)/D36)</f>
        <v>1.123614255</v>
      </c>
      <c r="G11" s="430">
        <f>IFERROR(__xludf.DUMMYFUNCTION("128*GoogleFinance(""CURRENCY:EURUSD"")"),155.731712)</f>
        <v>155.731712</v>
      </c>
      <c r="H11" s="430">
        <f>IFERROR(__xludf.DUMMYFUNCTION("256*GoogleFinance(""CURRENCY:EURUSD"")"),311.463424)</f>
        <v>311.463424</v>
      </c>
      <c r="I11" s="430"/>
      <c r="J11" s="430"/>
      <c r="K11" s="430"/>
      <c r="L11" s="431"/>
      <c r="M11" s="441"/>
      <c r="N11" s="442"/>
      <c r="O11" s="443"/>
      <c r="P11" s="434"/>
      <c r="Q11" s="448"/>
      <c r="R11" s="430"/>
      <c r="S11" s="431"/>
      <c r="T11" s="428"/>
      <c r="U11" s="430"/>
    </row>
    <row r="12">
      <c r="A12" s="435" t="str">
        <f>hyperlink("http://www.crystalmtponycon.com/","Crystal Mountain Pony Con 2014")</f>
        <v>Crystal Mountain Pony Con 2014</v>
      </c>
      <c r="B12" s="436">
        <v>2.0</v>
      </c>
      <c r="C12" s="446">
        <v>40.0</v>
      </c>
      <c r="D12" s="420">
        <f t="shared" si="2"/>
        <v>20</v>
      </c>
      <c r="E12" s="421">
        <f>SUM((D12-D37)/D37)</f>
        <v>-0.04001912895</v>
      </c>
      <c r="F12" s="421">
        <f>SUM((D12-D36)/D36)</f>
        <v>0.09090909091</v>
      </c>
      <c r="G12" s="422"/>
      <c r="H12" s="422"/>
      <c r="I12" s="422"/>
      <c r="J12" s="422"/>
      <c r="K12" s="422"/>
      <c r="L12" s="419"/>
      <c r="M12" s="449">
        <v>25.0</v>
      </c>
      <c r="N12" s="447">
        <v>25.0</v>
      </c>
      <c r="O12" s="419"/>
      <c r="P12" s="423"/>
      <c r="Q12" s="436" t="s">
        <v>440</v>
      </c>
      <c r="R12" s="422"/>
      <c r="S12" s="419"/>
      <c r="T12" s="420"/>
      <c r="U12" s="422"/>
    </row>
    <row r="13">
      <c r="A13" s="425" t="str">
        <f>hyperlink("http://grandgallopingbronygalacon.com/","The Grand Brony Gala 2")</f>
        <v>The Grand Brony Gala 2</v>
      </c>
      <c r="B13" s="426">
        <v>3.0</v>
      </c>
      <c r="C13" s="427">
        <v>55.0</v>
      </c>
      <c r="D13" s="428">
        <f t="shared" si="2"/>
        <v>18.33333333</v>
      </c>
      <c r="E13" s="429">
        <f>SUM((D13-D37)/D37)</f>
        <v>-0.1200175349</v>
      </c>
      <c r="F13" s="429">
        <f>SUM((D13-D36)/D36)</f>
        <v>0</v>
      </c>
      <c r="G13" s="433">
        <v>185.0</v>
      </c>
      <c r="H13" s="430"/>
      <c r="I13" s="430"/>
      <c r="J13" s="430"/>
      <c r="K13" s="430"/>
      <c r="L13" s="431"/>
      <c r="M13" s="432">
        <v>35.0</v>
      </c>
      <c r="N13" s="433">
        <v>35.0</v>
      </c>
      <c r="O13" s="427">
        <v>25.0</v>
      </c>
      <c r="P13" s="434"/>
      <c r="Q13" s="448"/>
      <c r="R13" s="430"/>
      <c r="S13" s="431"/>
      <c r="T13" s="428"/>
      <c r="U13" s="430"/>
    </row>
    <row r="14">
      <c r="A14" s="436" t="s">
        <v>56</v>
      </c>
      <c r="B14" s="424"/>
      <c r="C14" s="419"/>
      <c r="D14" s="420"/>
      <c r="E14" s="421"/>
      <c r="F14" s="421"/>
      <c r="G14" s="422"/>
      <c r="H14" s="422"/>
      <c r="I14" s="422"/>
      <c r="J14" s="422"/>
      <c r="K14" s="422"/>
      <c r="L14" s="419"/>
      <c r="M14" s="420"/>
      <c r="N14" s="422"/>
      <c r="O14" s="419"/>
      <c r="P14" s="423"/>
      <c r="Q14" s="424"/>
      <c r="R14" s="422"/>
      <c r="S14" s="419"/>
      <c r="T14" s="420"/>
      <c r="U14" s="422"/>
    </row>
    <row r="15">
      <c r="A15" s="425" t="str">
        <f>hyperlink("http://www.bronycan.ca","BronyCAN 2014")</f>
        <v>BronyCAN 2014</v>
      </c>
      <c r="B15" s="426">
        <v>3.0</v>
      </c>
      <c r="C15" s="431">
        <f>IFERROR(__xludf.DUMMYFUNCTION("50*GoogleFinance(""CURRENCY:CADUSD"")"),41.378745)</f>
        <v>41.378745</v>
      </c>
      <c r="D15" s="428">
        <f t="shared" ref="D15:D28" si="3">SUM(C15/B15)</f>
        <v>13.792915</v>
      </c>
      <c r="E15" s="429">
        <f>SUM((D15-D37)/D37)</f>
        <v>-0.3379532722</v>
      </c>
      <c r="F15" s="429">
        <f>SUM((D15-D36)/D36)</f>
        <v>-0.2476591818</v>
      </c>
      <c r="G15" s="430">
        <f>IFERROR(__xludf.DUMMYFUNCTION("100*GoogleFinance(""CURRENCY:CADUSD"")"),82.75749)</f>
        <v>82.75749</v>
      </c>
      <c r="H15" s="430">
        <f>IFERROR(__xludf.DUMMYFUNCTION("150*GoogleFinance(""CURRENCY:CADUSD"")"),124.136235)</f>
        <v>124.136235</v>
      </c>
      <c r="I15" s="430">
        <f>IFERROR(__xludf.DUMMYFUNCTION("3000*GoogleFinance(""CURRENCY:CADUSD"")"),2482.7247)</f>
        <v>2482.7247</v>
      </c>
      <c r="J15" s="430"/>
      <c r="K15" s="430"/>
      <c r="L15" s="431"/>
      <c r="M15" s="428">
        <f>IFERROR(__xludf.DUMMYFUNCTION("30*GoogleFinance(""CURRENCY:CADUSD"")"),24.827247)</f>
        <v>24.827247</v>
      </c>
      <c r="N15" s="430">
        <f>IFERROR(__xludf.DUMMYFUNCTION("40*GoogleFinance(""CURRENCY:CADUSD"")"),33.102996)</f>
        <v>33.102996</v>
      </c>
      <c r="O15" s="431">
        <f>IFERROR(__xludf.DUMMYFUNCTION("30*GoogleFinance(""CURRENCY:CADUSD"")"),24.827247)</f>
        <v>24.827247</v>
      </c>
      <c r="P15" s="434"/>
      <c r="Q15" s="448"/>
      <c r="R15" s="430"/>
      <c r="S15" s="431"/>
      <c r="T15" s="428"/>
      <c r="U15" s="430"/>
    </row>
    <row r="16">
      <c r="A16" s="435" t="str">
        <f>hyperlink("http://www.buckcon.org","BUCK 2014")</f>
        <v>BUCK 2014</v>
      </c>
      <c r="B16" s="436">
        <v>2.0</v>
      </c>
      <c r="C16" s="450">
        <f>IFERROR(__xludf.DUMMYFUNCTION("80*GoogleFinance(""CURRENCY:GBPUSD"")"),113.28552)</f>
        <v>113.28552</v>
      </c>
      <c r="D16" s="451">
        <f t="shared" si="3"/>
        <v>56.64276</v>
      </c>
      <c r="E16" s="452">
        <f>SUM((D16-D37)/D37)</f>
        <v>1.718798304</v>
      </c>
      <c r="F16" s="452">
        <f>SUM((D16-D36)/D36)</f>
        <v>2.089605091</v>
      </c>
      <c r="G16" s="453">
        <f>IFERROR(__xludf.DUMMYFUNCTION("190*GoogleFinance(""CURRENCY:GBPUSD"")"),269.05311)</f>
        <v>269.05311</v>
      </c>
      <c r="H16" s="453">
        <f>IFERROR(__xludf.DUMMYFUNCTION("335*GoogleFinance(""CURRENCY:GBPUSD"")"),474.38311500000003)</f>
        <v>474.383115</v>
      </c>
      <c r="I16" s="453"/>
      <c r="J16" s="453"/>
      <c r="K16" s="453"/>
      <c r="L16" s="454"/>
      <c r="M16" s="455">
        <f>IFERROR(__xludf.DUMMYFUNCTION("45*GoogleFinance(""CURRENCY:GBPUSD"")"),63.723105000000004)</f>
        <v>63.723105</v>
      </c>
      <c r="N16" s="453">
        <f>IFERROR(__xludf.DUMMYFUNCTION("45*GoogleFinance(""CURRENCY:GBPUSD"")"),63.723105000000004)</f>
        <v>63.723105</v>
      </c>
      <c r="O16" s="439"/>
      <c r="P16" s="423"/>
      <c r="Q16" s="436" t="s">
        <v>435</v>
      </c>
      <c r="R16" s="422"/>
      <c r="S16" s="419"/>
      <c r="T16" s="455">
        <f>IFERROR(__xludf.DUMMYFUNCTION("20*GoogleFinance(""CURRENCY:GBPUSD"")"),28.32138)</f>
        <v>28.32138</v>
      </c>
      <c r="U16" s="422"/>
    </row>
    <row r="17">
      <c r="A17" s="425" t="str">
        <f>hyperlink("http://www.czequestria.cz","Czequestria")</f>
        <v>Czequestria</v>
      </c>
      <c r="B17" s="426">
        <v>3.0</v>
      </c>
      <c r="C17" s="456">
        <f>IFERROR(__xludf.DUMMYFUNCTION("320*GoogleFinance(""CURRENCY:CZKUSD"")"),15.311370880000002)</f>
        <v>15.31137088</v>
      </c>
      <c r="D17" s="457">
        <f t="shared" si="3"/>
        <v>5.103790293</v>
      </c>
      <c r="E17" s="458">
        <f>SUM((D17-D37)/D37)</f>
        <v>-0.7550229474</v>
      </c>
      <c r="F17" s="458">
        <f>SUM((D17-D36)/D36)</f>
        <v>-0.7216114385</v>
      </c>
      <c r="G17" s="459">
        <f>IFERROR(__xludf.DUMMYFUNCTION("777*GoogleFinance(""CURRENCY:CZKUSD"")"),37.177922418)</f>
        <v>37.17792242</v>
      </c>
      <c r="H17" s="459">
        <f>IFERROR(__xludf.DUMMYFUNCTION("1800*GoogleFinance(""CURRENCY:CZKUSD"")"),86.12646120000001)</f>
        <v>86.1264612</v>
      </c>
      <c r="I17" s="430"/>
      <c r="J17" s="430"/>
      <c r="K17" s="430"/>
      <c r="L17" s="431"/>
      <c r="M17" s="428"/>
      <c r="N17" s="430"/>
      <c r="O17" s="431"/>
      <c r="P17" s="434"/>
      <c r="Q17" s="448"/>
      <c r="R17" s="430"/>
      <c r="S17" s="431"/>
      <c r="T17" s="428"/>
      <c r="U17" s="430"/>
    </row>
    <row r="18">
      <c r="A18" s="435" t="str">
        <f>hyperlink("http://bronyfanfair.com/","Brony Fan Fair 2014")</f>
        <v>Brony Fan Fair 2014</v>
      </c>
      <c r="B18" s="436">
        <v>3.0</v>
      </c>
      <c r="C18" s="460">
        <v>35.0</v>
      </c>
      <c r="D18" s="420">
        <f t="shared" si="3"/>
        <v>11.66666667</v>
      </c>
      <c r="E18" s="421">
        <f>SUM((D18-D37)/D37)</f>
        <v>-0.4400111586</v>
      </c>
      <c r="F18" s="421">
        <f>SUM((D18-D36)/D36)</f>
        <v>-0.3636363636</v>
      </c>
      <c r="G18" s="447">
        <v>55.0</v>
      </c>
      <c r="H18" s="447">
        <v>87.0</v>
      </c>
      <c r="I18" s="422"/>
      <c r="J18" s="422"/>
      <c r="K18" s="422"/>
      <c r="L18" s="419"/>
      <c r="M18" s="420"/>
      <c r="N18" s="422"/>
      <c r="O18" s="419"/>
      <c r="P18" s="423"/>
      <c r="Q18" s="424"/>
      <c r="R18" s="422"/>
      <c r="S18" s="419"/>
      <c r="T18" s="420"/>
      <c r="U18" s="447">
        <v>32.0</v>
      </c>
    </row>
    <row r="19">
      <c r="A19" s="435" t="str">
        <f>hyperlink("http://www.derpycons.com/","DerpyCon South 2014")</f>
        <v>DerpyCon South 2014</v>
      </c>
      <c r="B19" s="436">
        <v>2.0</v>
      </c>
      <c r="C19" s="446">
        <v>45.0</v>
      </c>
      <c r="D19" s="420">
        <f t="shared" si="3"/>
        <v>22.5</v>
      </c>
      <c r="E19" s="421">
        <f>SUM((D19-D37)/D37)</f>
        <v>0.07997847993</v>
      </c>
      <c r="F19" s="421">
        <f>SUM((D19-D36)/D36)</f>
        <v>0.2272727273</v>
      </c>
      <c r="G19" s="447">
        <v>150.0</v>
      </c>
      <c r="H19" s="447">
        <v>1000.0</v>
      </c>
      <c r="I19" s="422"/>
      <c r="J19" s="422"/>
      <c r="K19" s="422"/>
      <c r="L19" s="419"/>
      <c r="M19" s="449">
        <v>30.0</v>
      </c>
      <c r="N19" s="447">
        <v>30.0</v>
      </c>
      <c r="O19" s="419"/>
      <c r="P19" s="423"/>
      <c r="Q19" s="461" t="s">
        <v>441</v>
      </c>
      <c r="R19" s="422"/>
      <c r="S19" s="419"/>
      <c r="T19" s="420"/>
      <c r="U19" s="422"/>
    </row>
    <row r="20">
      <c r="A20" s="425" t="str">
        <f>hyperlink("http://sydneigh.com.au/","Sydneigh 2014")</f>
        <v>Sydneigh 2014</v>
      </c>
      <c r="B20" s="426">
        <v>2.0</v>
      </c>
      <c r="C20" s="431">
        <f>IFERROR(__xludf.DUMMYFUNCTION("65*GoogleFinance(""CURRENCY:AUDUSD"")"),50.31845)</f>
        <v>50.31845</v>
      </c>
      <c r="D20" s="428">
        <f t="shared" si="3"/>
        <v>25.159225</v>
      </c>
      <c r="E20" s="429">
        <f>SUM((D20-D37)/D37)</f>
        <v>0.2076187365</v>
      </c>
      <c r="F20" s="429">
        <f>SUM((D20-D36)/D36)</f>
        <v>0.3723213636</v>
      </c>
      <c r="G20" s="430">
        <f>IFERROR(__xludf.DUMMYFUNCTION("199*GoogleFinance(""CURRENCY:AUDUSD"")"),154.05187)</f>
        <v>154.05187</v>
      </c>
      <c r="H20" s="430">
        <f>IFERROR(__xludf.DUMMYFUNCTION("499*GoogleFinance(""CURRENCY:AUDUSD"")"),386.29087)</f>
        <v>386.29087</v>
      </c>
      <c r="I20" s="430">
        <f>IFERROR(__xludf.DUMMYFUNCTION("999*GoogleFinance(""CURRENCY:AUDUSD"")"),773.35587)</f>
        <v>773.35587</v>
      </c>
      <c r="J20" s="430"/>
      <c r="K20" s="430"/>
      <c r="L20" s="431"/>
      <c r="M20" s="428">
        <f>IFERROR(__xludf.DUMMYFUNCTION("40*GoogleFinance(""CURRENCY:AUDUSD"")"),30.9652)</f>
        <v>30.9652</v>
      </c>
      <c r="N20" s="430">
        <f>IFERROR(__xludf.DUMMYFUNCTION("40*GoogleFinance(""CURRENCY:AUDUSD"")"),30.9652)</f>
        <v>30.9652</v>
      </c>
      <c r="O20" s="431"/>
      <c r="P20" s="434"/>
      <c r="Q20" s="426" t="s">
        <v>435</v>
      </c>
      <c r="R20" s="430"/>
      <c r="S20" s="431"/>
      <c r="T20" s="428"/>
      <c r="U20" s="430"/>
    </row>
    <row r="21">
      <c r="A21" s="435" t="str">
        <f>hyperlink("http://www.bronyscot.org.uk","BronyScot")</f>
        <v>BronyScot</v>
      </c>
      <c r="B21" s="436">
        <v>2.0</v>
      </c>
      <c r="C21" s="454">
        <f>IFERROR(__xludf.DUMMYFUNCTION("35*GoogleFinance(""CURRENCY:GBPUSD"")"),49.562415)</f>
        <v>49.562415</v>
      </c>
      <c r="D21" s="420">
        <f t="shared" si="3"/>
        <v>24.7812075</v>
      </c>
      <c r="E21" s="421">
        <f>SUM((D21-D37)/D37)</f>
        <v>0.1894742581</v>
      </c>
      <c r="F21" s="421">
        <f>SUM((D21-D36)/D36)</f>
        <v>0.3517022273</v>
      </c>
      <c r="G21" s="453">
        <f>IFERROR(__xludf.DUMMYFUNCTION("99*GoogleFinance(""CURRENCY:GBPUSD"")"),140.190831)</f>
        <v>140.190831</v>
      </c>
      <c r="H21" s="422"/>
      <c r="I21" s="422"/>
      <c r="J21" s="422"/>
      <c r="K21" s="422"/>
      <c r="L21" s="419"/>
      <c r="M21" s="420"/>
      <c r="N21" s="422"/>
      <c r="O21" s="419"/>
      <c r="P21" s="423"/>
      <c r="Q21" s="424"/>
      <c r="R21" s="453">
        <f>IFERROR(__xludf.DUMMYFUNCTION("75*GoogleFinance(""CURRENCY:GBPUSD"")"),106.205175)</f>
        <v>106.205175</v>
      </c>
      <c r="S21" s="454">
        <f>IFERROR(__xludf.DUMMYFUNCTION("60*GoogleFinance(""CURRENCY:GBPUSD"")"),84.96414)</f>
        <v>84.96414</v>
      </c>
      <c r="T21" s="420"/>
      <c r="U21" s="422"/>
    </row>
    <row r="22">
      <c r="A22" s="425" t="str">
        <f>hyperlink("http://www.ukponycon.co.uk","UK Ponycon 2014")</f>
        <v>UK Ponycon 2014</v>
      </c>
      <c r="B22" s="426">
        <v>2.0</v>
      </c>
      <c r="C22" s="462">
        <f>IFERROR(__xludf.DUMMYFUNCTION("25*GoogleFinance(""CURRENCY:GBPUSD"")"),35.401725)</f>
        <v>35.401725</v>
      </c>
      <c r="D22" s="428">
        <f t="shared" si="3"/>
        <v>17.7008625</v>
      </c>
      <c r="E22" s="429">
        <f>SUM((D22-D37)/D37)</f>
        <v>-0.1503755299</v>
      </c>
      <c r="F22" s="429">
        <f>SUM((D22-D36)/D36)</f>
        <v>-0.03449840909</v>
      </c>
      <c r="G22" s="430"/>
      <c r="H22" s="430"/>
      <c r="I22" s="430"/>
      <c r="J22" s="430"/>
      <c r="K22" s="430"/>
      <c r="L22" s="431"/>
      <c r="M22" s="463">
        <f>IFERROR(__xludf.DUMMYFUNCTION("15*GoogleFinance(""CURRENCY:GBPUSD"")"),21.241035)</f>
        <v>21.241035</v>
      </c>
      <c r="N22" s="459">
        <f>IFERROR(__xludf.DUMMYFUNCTION("15*GoogleFinance(""CURRENCY:GBPUSD"")"),21.241035)</f>
        <v>21.241035</v>
      </c>
      <c r="O22" s="431"/>
      <c r="P22" s="434"/>
      <c r="Q22" s="448"/>
      <c r="R22" s="430"/>
      <c r="S22" s="431"/>
      <c r="T22" s="428"/>
      <c r="U22" s="430"/>
    </row>
    <row r="23">
      <c r="A23" s="435" t="str">
        <f>hyperlink("http://crystalfairstl.com/","St. Louis Crystal Fair 2014")</f>
        <v>St. Louis Crystal Fair 2014</v>
      </c>
      <c r="B23" s="436">
        <v>3.0</v>
      </c>
      <c r="C23" s="446">
        <v>30.0</v>
      </c>
      <c r="D23" s="420">
        <f t="shared" si="3"/>
        <v>10</v>
      </c>
      <c r="E23" s="421">
        <f>SUM((D23-D37)/D37)</f>
        <v>-0.5200095645</v>
      </c>
      <c r="F23" s="421">
        <f>SUM((D23-D36)/D36)</f>
        <v>-0.4545454545</v>
      </c>
      <c r="G23" s="447">
        <v>75.0</v>
      </c>
      <c r="H23" s="447">
        <v>100.0</v>
      </c>
      <c r="I23" s="447">
        <v>150.0</v>
      </c>
      <c r="J23" s="447">
        <v>250.0</v>
      </c>
      <c r="K23" s="447">
        <v>500.0</v>
      </c>
      <c r="L23" s="446">
        <v>750.0</v>
      </c>
      <c r="M23" s="449">
        <v>25.0</v>
      </c>
      <c r="N23" s="447">
        <v>30.0</v>
      </c>
      <c r="O23" s="446">
        <v>20.0</v>
      </c>
      <c r="P23" s="423"/>
      <c r="Q23" s="436" t="s">
        <v>442</v>
      </c>
      <c r="R23" s="422"/>
      <c r="S23" s="419"/>
      <c r="T23" s="420"/>
      <c r="U23" s="422"/>
    </row>
    <row r="24">
      <c r="A24" s="425" t="str">
        <f>hyperlink("http://nightmarenights.net/","Nightmare Nights 2014")</f>
        <v>Nightmare Nights 2014</v>
      </c>
      <c r="B24" s="426">
        <v>3.0</v>
      </c>
      <c r="C24" s="427">
        <v>40.0</v>
      </c>
      <c r="D24" s="428">
        <f t="shared" si="3"/>
        <v>13.33333333</v>
      </c>
      <c r="E24" s="429">
        <f>SUM((D24-D37)/D37)</f>
        <v>-0.3600127526</v>
      </c>
      <c r="F24" s="429">
        <f>SUM((D24-D36)/D36)</f>
        <v>-0.2727272727</v>
      </c>
      <c r="G24" s="433">
        <v>60.0</v>
      </c>
      <c r="H24" s="433">
        <v>110.0</v>
      </c>
      <c r="I24" s="433">
        <v>250.0</v>
      </c>
      <c r="J24" s="433">
        <v>500.0</v>
      </c>
      <c r="K24" s="430"/>
      <c r="L24" s="431"/>
      <c r="M24" s="432">
        <v>30.0</v>
      </c>
      <c r="N24" s="433">
        <v>30.0</v>
      </c>
      <c r="O24" s="427">
        <v>20.0</v>
      </c>
      <c r="P24" s="444" t="s">
        <v>443</v>
      </c>
      <c r="Q24" s="445" t="s">
        <v>444</v>
      </c>
      <c r="R24" s="430"/>
      <c r="S24" s="431"/>
      <c r="T24" s="428"/>
      <c r="U24" s="430"/>
    </row>
    <row r="25">
      <c r="A25" s="435" t="str">
        <f>hyperlink("http://rotlcon.com/","Running of the Leaves Con 2014")</f>
        <v>Running of the Leaves Con 2014</v>
      </c>
      <c r="B25" s="436">
        <v>3.0</v>
      </c>
      <c r="C25" s="446">
        <v>40.0</v>
      </c>
      <c r="D25" s="420">
        <f t="shared" si="3"/>
        <v>13.33333333</v>
      </c>
      <c r="E25" s="421">
        <f>SUM((D25-D37)/D37)</f>
        <v>-0.3600127526</v>
      </c>
      <c r="F25" s="421">
        <f>SUM((D25-D36)/D36)</f>
        <v>-0.2727272727</v>
      </c>
      <c r="G25" s="447">
        <v>75.0</v>
      </c>
      <c r="H25" s="447">
        <v>165.0</v>
      </c>
      <c r="I25" s="447">
        <v>225.0</v>
      </c>
      <c r="J25" s="422"/>
      <c r="K25" s="422"/>
      <c r="L25" s="419"/>
      <c r="M25" s="449">
        <v>30.0</v>
      </c>
      <c r="N25" s="447">
        <v>30.0</v>
      </c>
      <c r="O25" s="446">
        <v>30.0</v>
      </c>
      <c r="P25" s="423"/>
      <c r="Q25" s="424"/>
      <c r="R25" s="422"/>
      <c r="S25" s="419"/>
      <c r="T25" s="420"/>
      <c r="U25" s="422"/>
    </row>
    <row r="26">
      <c r="A26" s="425" t="str">
        <f>hyperlink("http://ponycon.jp/","JapanPonycon 4")</f>
        <v>JapanPonycon 4</v>
      </c>
      <c r="B26" s="426">
        <v>1.0</v>
      </c>
      <c r="C26" s="462">
        <f>IFERROR(__xludf.DUMMYFUNCTION("2000*GoogleFinance(""CURRENCY:JPYUSD"")"),18.264006000000002)</f>
        <v>18.264006</v>
      </c>
      <c r="D26" s="428">
        <f t="shared" si="3"/>
        <v>18.264006</v>
      </c>
      <c r="E26" s="429">
        <f>SUM((D26-D37)/D37)</f>
        <v>-0.1233451806</v>
      </c>
      <c r="F26" s="429">
        <f>SUM((D26-D36)/D36)</f>
        <v>-0.003781490909</v>
      </c>
      <c r="G26" s="430"/>
      <c r="H26" s="430"/>
      <c r="I26" s="430"/>
      <c r="J26" s="430"/>
      <c r="K26" s="430"/>
      <c r="L26" s="431"/>
      <c r="M26" s="428"/>
      <c r="N26" s="430"/>
      <c r="O26" s="431"/>
      <c r="P26" s="434"/>
      <c r="Q26" s="448"/>
      <c r="R26" s="430"/>
      <c r="S26" s="431"/>
      <c r="T26" s="428"/>
      <c r="U26" s="430"/>
    </row>
    <row r="27">
      <c r="A27" s="435" t="str">
        <f>hyperlink("http://www.ponyvilleciderfest.com/","Ponyville Ciderfest")</f>
        <v>Ponyville Ciderfest</v>
      </c>
      <c r="B27" s="436">
        <v>3.0</v>
      </c>
      <c r="C27" s="446">
        <v>40.0</v>
      </c>
      <c r="D27" s="420">
        <f t="shared" si="3"/>
        <v>13.33333333</v>
      </c>
      <c r="E27" s="421">
        <f>SUM((D27-D37)/D37)</f>
        <v>-0.3600127526</v>
      </c>
      <c r="F27" s="421">
        <f>SUM((D27-D36)/D36)</f>
        <v>-0.2727272727</v>
      </c>
      <c r="G27" s="447">
        <v>125.0</v>
      </c>
      <c r="H27" s="447">
        <v>200.0</v>
      </c>
      <c r="I27" s="447">
        <v>400.0</v>
      </c>
      <c r="J27" s="422"/>
      <c r="K27" s="422"/>
      <c r="L27" s="419"/>
      <c r="M27" s="449">
        <v>20.0</v>
      </c>
      <c r="N27" s="447">
        <v>25.0</v>
      </c>
      <c r="O27" s="446">
        <v>20.0</v>
      </c>
      <c r="P27" s="423"/>
      <c r="Q27" s="436" t="s">
        <v>445</v>
      </c>
      <c r="R27" s="422"/>
      <c r="S27" s="419"/>
      <c r="T27" s="420"/>
      <c r="U27" s="422"/>
    </row>
    <row r="28">
      <c r="A28" s="464" t="str">
        <f>hyperlink("https://www.drawncon.com","DrawnCon: Season 2")</f>
        <v>DrawnCon: Season 2</v>
      </c>
      <c r="B28" s="426">
        <v>2.0</v>
      </c>
      <c r="C28" s="427">
        <v>35.0</v>
      </c>
      <c r="D28" s="428">
        <f t="shared" si="3"/>
        <v>17.5</v>
      </c>
      <c r="E28" s="429">
        <f>SUM((D28-D37)/D37)</f>
        <v>-0.1600167378</v>
      </c>
      <c r="F28" s="429">
        <f>SUM((D28-D36)/D36)</f>
        <v>-0.04545454545</v>
      </c>
      <c r="G28" s="433">
        <v>75.0</v>
      </c>
      <c r="H28" s="433">
        <v>120.0</v>
      </c>
      <c r="I28" s="433">
        <v>200.0</v>
      </c>
      <c r="J28" s="433">
        <v>600.0</v>
      </c>
      <c r="K28" s="430"/>
      <c r="L28" s="431"/>
      <c r="M28" s="432">
        <v>25.0</v>
      </c>
      <c r="N28" s="433">
        <v>20.0</v>
      </c>
      <c r="O28" s="431"/>
      <c r="P28" s="434"/>
      <c r="Q28" s="448"/>
      <c r="R28" s="430"/>
      <c r="S28" s="431"/>
      <c r="T28" s="428"/>
      <c r="U28" s="430"/>
    </row>
    <row r="29">
      <c r="A29" s="436" t="s">
        <v>77</v>
      </c>
      <c r="B29" s="424"/>
      <c r="C29" s="419"/>
      <c r="D29" s="420"/>
      <c r="E29" s="421"/>
      <c r="F29" s="421"/>
      <c r="G29" s="422"/>
      <c r="H29" s="422"/>
      <c r="I29" s="422"/>
      <c r="J29" s="422"/>
      <c r="K29" s="422"/>
      <c r="L29" s="419"/>
      <c r="M29" s="420"/>
      <c r="N29" s="422"/>
      <c r="O29" s="419"/>
      <c r="P29" s="423"/>
      <c r="Q29" s="424"/>
      <c r="R29" s="422"/>
      <c r="S29" s="419"/>
      <c r="T29" s="420"/>
      <c r="U29" s="422"/>
    </row>
    <row r="30">
      <c r="A30" s="464" t="str">
        <f>hyperlink("https://www.derpycon.com/","DerpyCon 2014")</f>
        <v>DerpyCon 2014</v>
      </c>
      <c r="B30" s="426">
        <v>3.0</v>
      </c>
      <c r="C30" s="427">
        <v>55.0</v>
      </c>
      <c r="D30" s="428">
        <f>SUM(C30/B30)</f>
        <v>18.33333333</v>
      </c>
      <c r="E30" s="429">
        <f>SUM((D30-D37)/D37)</f>
        <v>-0.1200175349</v>
      </c>
      <c r="F30" s="429">
        <f>SUM((D30-D36)/D36)</f>
        <v>0</v>
      </c>
      <c r="G30" s="430"/>
      <c r="H30" s="430"/>
      <c r="I30" s="430"/>
      <c r="J30" s="430"/>
      <c r="K30" s="430"/>
      <c r="L30" s="431"/>
      <c r="M30" s="432">
        <v>20.0</v>
      </c>
      <c r="N30" s="433">
        <v>35.0</v>
      </c>
      <c r="O30" s="427">
        <v>20.0</v>
      </c>
      <c r="P30" s="434"/>
      <c r="Q30" s="426" t="s">
        <v>446</v>
      </c>
      <c r="R30" s="430"/>
      <c r="S30" s="431"/>
      <c r="T30" s="428"/>
      <c r="U30" s="430"/>
    </row>
    <row r="31">
      <c r="A31" s="410">
        <v>2015.0</v>
      </c>
      <c r="B31" s="411"/>
      <c r="C31" s="412"/>
      <c r="D31" s="413"/>
      <c r="E31" s="414"/>
      <c r="F31" s="414"/>
      <c r="G31" s="414"/>
      <c r="H31" s="414"/>
      <c r="I31" s="414"/>
      <c r="J31" s="414"/>
      <c r="K31" s="414"/>
      <c r="L31" s="412"/>
      <c r="M31" s="413"/>
      <c r="N31" s="414"/>
      <c r="O31" s="412"/>
      <c r="P31" s="415"/>
      <c r="Q31" s="416"/>
      <c r="R31" s="414"/>
      <c r="S31" s="412"/>
      <c r="T31" s="413"/>
      <c r="U31" s="414"/>
    </row>
    <row r="32">
      <c r="A32" s="465" t="str">
        <f>hyperlink("http://www.hwcon.nl/","Hearth's Warming Con")</f>
        <v>Hearth's Warming Con</v>
      </c>
      <c r="B32" s="466">
        <v>2.0</v>
      </c>
      <c r="C32" s="419">
        <f>IFERROR(__xludf.DUMMYFUNCTION("60*GoogleFinance(""CURRENCY:EURUSD"")"),72.99924)</f>
        <v>72.99924</v>
      </c>
      <c r="D32" s="420">
        <f t="shared" ref="D32:D33" si="4">SUM(C32/B32)</f>
        <v>36.49962</v>
      </c>
      <c r="E32" s="422"/>
      <c r="F32" s="422"/>
      <c r="G32" s="422">
        <f>IFERROR(__xludf.DUMMYFUNCTION("85*GoogleFinance(""CURRENCY:EURUSD"")"),103.41559)</f>
        <v>103.41559</v>
      </c>
      <c r="H32" s="422">
        <f>IFERROR(__xludf.DUMMYFUNCTION("130*GoogleFinance(""CURRENCY:EURUSD"")"),158.16502)</f>
        <v>158.16502</v>
      </c>
      <c r="I32" s="422"/>
      <c r="J32" s="422"/>
      <c r="K32" s="422"/>
      <c r="L32" s="419"/>
      <c r="M32" s="420">
        <f>IFERROR(__xludf.DUMMYFUNCTION("29*GoogleFinance(""CURRENCY:EURUSD"")"),35.282965999999995)</f>
        <v>35.282966</v>
      </c>
      <c r="N32" s="422"/>
      <c r="O32" s="419"/>
      <c r="P32" s="423"/>
      <c r="Q32" s="424"/>
      <c r="R32" s="422"/>
      <c r="S32" s="419"/>
      <c r="T32" s="420"/>
      <c r="U32" s="422"/>
    </row>
    <row r="33">
      <c r="A33" s="467" t="str">
        <f>hyperlink("http://www.babscon.com/","Bay Area Brony Spectacular (BABSCon)")</f>
        <v>Bay Area Brony Spectacular (BABSCon)</v>
      </c>
      <c r="B33" s="468">
        <v>3.0</v>
      </c>
      <c r="C33" s="427">
        <v>50.0</v>
      </c>
      <c r="D33" s="428">
        <f t="shared" si="4"/>
        <v>16.66666667</v>
      </c>
      <c r="E33" s="430"/>
      <c r="F33" s="430"/>
      <c r="G33" s="433">
        <v>135.0</v>
      </c>
      <c r="H33" s="433">
        <v>225.0</v>
      </c>
      <c r="I33" s="433">
        <v>450.0</v>
      </c>
      <c r="J33" s="433">
        <v>900.0</v>
      </c>
      <c r="K33" s="433">
        <v>2250.0</v>
      </c>
      <c r="L33" s="431"/>
      <c r="M33" s="428"/>
      <c r="N33" s="430"/>
      <c r="O33" s="431"/>
      <c r="P33" s="444" t="s">
        <v>447</v>
      </c>
      <c r="Q33" s="426" t="s">
        <v>448</v>
      </c>
      <c r="R33" s="430"/>
      <c r="S33" s="431"/>
      <c r="T33" s="428"/>
      <c r="U33" s="430"/>
    </row>
    <row r="34">
      <c r="A34" s="435" t="str">
        <f>hyperlink("http://brony-fair.de/","Brony Fair")</f>
        <v>Brony Fair</v>
      </c>
      <c r="B34" s="436">
        <v>2.0</v>
      </c>
      <c r="C34" s="419"/>
      <c r="D34" s="420"/>
      <c r="E34" s="422"/>
      <c r="F34" s="422"/>
      <c r="G34" s="422"/>
      <c r="H34" s="422"/>
      <c r="I34" s="422"/>
      <c r="J34" s="422"/>
      <c r="K34" s="422"/>
      <c r="L34" s="419"/>
      <c r="M34" s="420"/>
      <c r="N34" s="422"/>
      <c r="O34" s="419"/>
      <c r="P34" s="423"/>
      <c r="Q34" s="424"/>
      <c r="R34" s="422"/>
      <c r="S34" s="419"/>
      <c r="T34" s="420"/>
      <c r="U34" s="422"/>
    </row>
    <row r="35">
      <c r="A35" s="448"/>
      <c r="B35" s="448"/>
      <c r="C35" s="431"/>
      <c r="D35" s="428"/>
      <c r="E35" s="433" t="s">
        <v>34</v>
      </c>
      <c r="F35" s="430"/>
      <c r="G35" s="430"/>
      <c r="H35" s="430"/>
      <c r="I35" s="430"/>
      <c r="J35" s="430"/>
      <c r="K35" s="430"/>
      <c r="L35" s="431"/>
      <c r="M35" s="428"/>
      <c r="N35" s="430"/>
      <c r="O35" s="431"/>
      <c r="P35" s="434"/>
      <c r="Q35" s="448"/>
      <c r="R35" s="430"/>
      <c r="S35" s="431"/>
      <c r="T35" s="428"/>
      <c r="U35" s="430"/>
    </row>
    <row r="36">
      <c r="A36" s="445" t="s">
        <v>449</v>
      </c>
      <c r="B36" s="448"/>
      <c r="C36" s="431">
        <f t="shared" ref="C36:D36" si="5">MEDIAN(C4:C34)</f>
        <v>43.1893725</v>
      </c>
      <c r="D36" s="428">
        <f t="shared" si="5"/>
        <v>18.33333333</v>
      </c>
      <c r="E36" s="430"/>
      <c r="F36" s="430"/>
      <c r="G36" s="430"/>
      <c r="H36" s="430"/>
      <c r="I36" s="430"/>
      <c r="J36" s="430"/>
      <c r="K36" s="430"/>
      <c r="L36" s="431"/>
      <c r="M36" s="428"/>
      <c r="N36" s="430"/>
      <c r="O36" s="431"/>
      <c r="P36" s="434"/>
      <c r="Q36" s="448"/>
      <c r="R36" s="430"/>
      <c r="S36" s="431"/>
      <c r="T36" s="428"/>
      <c r="U36" s="430"/>
    </row>
    <row r="37">
      <c r="A37" s="445" t="s">
        <v>450</v>
      </c>
      <c r="B37" s="448"/>
      <c r="C37" s="431">
        <f t="shared" ref="C37:D37" si="6">average(C4:C34)</f>
        <v>49.54224588</v>
      </c>
      <c r="D37" s="428">
        <f t="shared" si="6"/>
        <v>20.83374847</v>
      </c>
      <c r="E37" s="430"/>
      <c r="F37" s="430"/>
      <c r="G37" s="430"/>
      <c r="H37" s="430"/>
      <c r="I37" s="430"/>
      <c r="J37" s="430"/>
      <c r="K37" s="430"/>
      <c r="L37" s="431"/>
      <c r="M37" s="428"/>
      <c r="N37" s="430"/>
      <c r="O37" s="431"/>
      <c r="P37" s="434"/>
      <c r="Q37" s="448"/>
      <c r="R37" s="430"/>
      <c r="S37" s="431"/>
      <c r="T37" s="428"/>
      <c r="U37" s="430"/>
    </row>
    <row r="38">
      <c r="A38" s="445" t="s">
        <v>451</v>
      </c>
      <c r="B38" s="448"/>
      <c r="C38" s="431">
        <f>TRIMMEAN(C4:C34,0.25)</f>
        <v>46.801966</v>
      </c>
      <c r="D38" s="428">
        <f>TRIMMEAN(D4:D34,0.1)</f>
        <v>19.99712124</v>
      </c>
      <c r="E38" s="430"/>
      <c r="F38" s="430"/>
      <c r="G38" s="430"/>
      <c r="H38" s="430"/>
      <c r="I38" s="430"/>
      <c r="J38" s="430"/>
      <c r="K38" s="430"/>
      <c r="L38" s="431"/>
      <c r="M38" s="428"/>
      <c r="N38" s="430"/>
      <c r="O38" s="431"/>
      <c r="P38" s="434"/>
      <c r="Q38" s="448"/>
      <c r="R38" s="430"/>
      <c r="S38" s="431"/>
      <c r="T38" s="428"/>
      <c r="U38" s="430"/>
    </row>
    <row r="39">
      <c r="B39" s="448"/>
      <c r="C39" s="469"/>
      <c r="D39" s="428"/>
      <c r="E39" s="430"/>
      <c r="F39" s="430"/>
      <c r="G39" s="430"/>
      <c r="H39" s="430"/>
      <c r="I39" s="430"/>
      <c r="J39" s="430"/>
      <c r="K39" s="430"/>
      <c r="L39" s="431"/>
      <c r="M39" s="428"/>
      <c r="N39" s="430"/>
      <c r="O39" s="431"/>
      <c r="P39" s="434"/>
      <c r="Q39" s="448"/>
      <c r="R39" s="430"/>
      <c r="S39" s="431"/>
      <c r="T39" s="428"/>
      <c r="U39" s="430"/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32.14"/>
    <col customWidth="1" min="2" max="2" width="22.86"/>
    <col customWidth="1" min="3" max="3" width="13.29"/>
    <col customWidth="1" min="4" max="4" width="13.43"/>
    <col customWidth="1" min="5" max="5" width="10.86"/>
    <col customWidth="1" min="6" max="6" width="52.43"/>
    <col customWidth="1" min="7" max="7" width="22.57"/>
    <col customWidth="1" min="8" max="8" width="20.86"/>
    <col customWidth="1" min="9" max="9" width="59.57"/>
    <col customWidth="1" min="10" max="10" width="19.0"/>
    <col customWidth="1" min="11" max="11" width="24.0"/>
    <col customWidth="1" min="12" max="12" width="19.0"/>
  </cols>
  <sheetData>
    <row r="1">
      <c r="A1" s="4" t="s">
        <v>130</v>
      </c>
      <c r="B1" s="10" t="str">
        <f>hyperlink("https://maps.google.com/maps/ms?msa=0&amp;msid=217710211608313095894.0004ce3c73b54c1d23deb","Location")</f>
        <v>Location</v>
      </c>
      <c r="C1" s="470" t="s">
        <v>4</v>
      </c>
      <c r="D1" s="470" t="s">
        <v>5</v>
      </c>
      <c r="E1" s="8" t="s">
        <v>6</v>
      </c>
      <c r="F1" s="8" t="s">
        <v>452</v>
      </c>
      <c r="G1" s="471" t="s">
        <v>9</v>
      </c>
      <c r="H1" s="471" t="s">
        <v>453</v>
      </c>
      <c r="I1" s="5" t="s">
        <v>3</v>
      </c>
      <c r="J1" s="10" t="str">
        <f>hyperlink("https://twitter.com/foalpapers/mlp-conventions","Twitter")</f>
        <v>Twitter</v>
      </c>
      <c r="K1" s="11" t="s">
        <v>10</v>
      </c>
      <c r="L1" s="11" t="s">
        <v>11</v>
      </c>
    </row>
    <row r="2">
      <c r="A2" s="72" t="s">
        <v>454</v>
      </c>
      <c r="B2" s="65" t="str">
        <f>hyperlink("https://www.google.com/maps?q=CSB+Hotel+-+International+Conference+Center,+Manila,+Metro+Manila,+Philippines&amp;hl=en&amp;sll=52.477438,-1.863632&amp;sspn=0.239221,0.547256&amp;oq=college+of+saint+benil&amp;hq=CSB+Hotel+-+International+Conference+Center,+Manila,+Metro+Manil"&amp;"a,+Philippines&amp;radius=15000&amp;t=m&amp;z=13","Manila, Philippines")</f>
        <v>Manila, Philippines</v>
      </c>
      <c r="C2" s="472">
        <v>41307.0</v>
      </c>
      <c r="D2" s="473" t="s">
        <v>13</v>
      </c>
      <c r="E2" s="71"/>
      <c r="F2" s="71"/>
      <c r="G2" s="130"/>
      <c r="H2" s="130"/>
      <c r="I2" s="115" t="s">
        <v>455</v>
      </c>
      <c r="J2" s="71"/>
      <c r="K2" s="65" t="str">
        <f>hyperlink("http://www.facebook.com/phbronies","phbronies")</f>
        <v>phbronies</v>
      </c>
      <c r="L2" s="71"/>
    </row>
    <row r="3">
      <c r="A3" s="474" t="s">
        <v>456</v>
      </c>
      <c r="B3" s="475" t="str">
        <f>hyperlink("https://www.google.com/maps?q=Riviera+Hotel,+South+Las+Vegas+Boulevard,+Las+Vegas,+NV,+United+States&amp;hl=en&amp;sll=36.135258,-115.1597&amp;sspn=0.011472,0.016243&amp;oq=riviera+hotel&amp;hq=Riviera+Hotel,+South+Las+Vegas+Boulevard,+Las+Vegas,+NV,+United+States&amp;t=m&amp;z=15","Las Vegas, NV, USA")</f>
        <v>Las Vegas, NV, USA</v>
      </c>
      <c r="C3" s="476">
        <v>41327.0</v>
      </c>
      <c r="D3" s="476">
        <v>41329.0</v>
      </c>
      <c r="E3" s="477"/>
      <c r="F3" s="477"/>
      <c r="G3" s="478"/>
      <c r="H3" s="478"/>
      <c r="I3" s="479" t="s">
        <v>457</v>
      </c>
      <c r="J3" s="475" t="str">
        <f>hyperlink("http://www.twitter.com/Las_Pegasus_Uni","@Las_Pegasus_Uni")</f>
        <v>@Las_Pegasus_Uni</v>
      </c>
      <c r="K3" s="475" t="str">
        <f>hyperlink("https://www.facebook.com/LasPegasusUnicon","LasPegasusUnicon")</f>
        <v>LasPegasusUnicon</v>
      </c>
      <c r="L3" s="477"/>
    </row>
    <row r="4">
      <c r="A4" s="480" t="s">
        <v>371</v>
      </c>
      <c r="B4" s="481" t="str">
        <f>hyperlink("https://www.google.com/maps?q=holiday+inn+near+Alexandria+Historic+District,+Alexandria,+VA,+United+States&amp;hl=en&amp;ll=38.818311,-77.046003&amp;spn=0.038252,0.068407&amp;sll=52.477438,-1.863632&amp;sspn=0.239221,0.547256&amp;oq=holiday+inn+alexandria+hi&amp;hq=holiday+inn&amp;hnear"&amp;"=Alexandria+Historic+District,+Alexandria,+Virginia&amp;t=m&amp;z=14&amp;iwloc=A","Washington, D.C., USA")</f>
        <v>Washington, D.C., USA</v>
      </c>
      <c r="C4" s="482">
        <v>41342.0</v>
      </c>
      <c r="D4" s="482">
        <v>41343.0</v>
      </c>
      <c r="E4" s="480" t="s">
        <v>458</v>
      </c>
      <c r="F4" s="480" t="s">
        <v>309</v>
      </c>
      <c r="G4" s="483">
        <v>1000.0</v>
      </c>
      <c r="H4" s="483">
        <v>1000.0</v>
      </c>
      <c r="I4" s="484" t="s">
        <v>459</v>
      </c>
      <c r="J4" s="481" t="str">
        <f>hyperlink("http://www.twitter.com/CloudsdaleCon","@CloudsdaleCon")</f>
        <v>@CloudsdaleCon</v>
      </c>
      <c r="K4" s="481" t="str">
        <f>hyperlink("http://www.facebook.com/CloudsdaleCongress","CloudsdaleCongress")</f>
        <v>CloudsdaleCongress</v>
      </c>
      <c r="L4" s="481" t="str">
        <f>hyperlink("http://cloudsdalecongress.tumblr.com/","cloudsdalecongress")</f>
        <v>cloudsdalecongress</v>
      </c>
    </row>
    <row r="5">
      <c r="A5" s="16" t="s">
        <v>460</v>
      </c>
      <c r="B5" s="12" t="str">
        <f>hyperlink("https://www.google.com/maps?q=Club+Social+y+Deportivo+Villa+Bernasconi+-+Salto+63,+Sarand%C3%AD,+Avellaneda,+Buenos+Aires+Province,+Argentina&amp;hl=en&amp;ie=UTF8&amp;sll=37.0625,-95.677068&amp;sspn=44.879582,93.076172&amp;oq=Club+social+y+deportivo+Villa+Bernasconi+(Salto+"&amp;"63,+Avellaneda)&amp;hq=Club+Social+y+Deportivo+Villa+Bernasconi+-&amp;hnear=Salto+63,+Sarand%C3%AD,+Buenos+Aires,+Argentina&amp;t=m&amp;z=16","Buenos Aires, Argentina")</f>
        <v>Buenos Aires, Argentina</v>
      </c>
      <c r="C5" s="485">
        <v>41349.0</v>
      </c>
      <c r="D5" s="486" t="s">
        <v>13</v>
      </c>
      <c r="E5" s="17"/>
      <c r="F5" s="17"/>
      <c r="G5" s="487"/>
      <c r="H5" s="487"/>
      <c r="I5" s="49" t="s">
        <v>461</v>
      </c>
      <c r="J5" s="17"/>
      <c r="K5" s="12" t="str">
        <f>hyperlink("https://www.facebook.com/events/291723124288456","[link]")</f>
        <v>[link]</v>
      </c>
      <c r="L5" s="17"/>
    </row>
    <row r="6">
      <c r="A6" s="488" t="s">
        <v>462</v>
      </c>
      <c r="B6" s="489" t="str">
        <f>hyperlink("https://www.google.com/maps?q=new+york+marriott+at+the+brooklyn+bridge&amp;hl=en&amp;sll=52.477438,-1.863632&amp;sspn=0.250512,0.547256&amp;hq=new+york+marriott+at+the+brooklyn+bridge&amp;t=m&amp;z=15","New York, NY, USA")</f>
        <v>New York, NY, USA</v>
      </c>
      <c r="C6" s="490">
        <v>41356.0</v>
      </c>
      <c r="D6" s="490">
        <v>41357.0</v>
      </c>
      <c r="E6" s="491"/>
      <c r="F6" s="491"/>
      <c r="G6" s="492"/>
      <c r="H6" s="492"/>
      <c r="I6" s="493" t="s">
        <v>463</v>
      </c>
      <c r="J6" s="489" t="str">
        <f>hyperlink("http://www.twitter.com/BigApplePonycon","@BigApplePonycon")</f>
        <v>@BigApplePonycon</v>
      </c>
      <c r="K6" s="489" t="str">
        <f>hyperlink("http://www.facebook.com/BigApplePonycon","BigApplePonycon")</f>
        <v>BigApplePonycon</v>
      </c>
      <c r="L6" s="491"/>
    </row>
    <row r="7">
      <c r="A7" s="16" t="s">
        <v>369</v>
      </c>
      <c r="B7" s="12" t="str">
        <f>hyperlink("https://www.google.com/maps?q=hilton+garden+inn+and+convention+center+lewisville+tx&amp;hl=en&amp;ll=32.997578,-96.967392&amp;spn=0.093293,0.181789&amp;sll=37.0625,-95.677068&amp;sspn=44.879582,93.076172&amp;hq=hilton+garden+inn+and+convention+center+lewisville+tx&amp;radius=15000&amp;t"&amp;"=m&amp;z=13&amp;iwloc=A","Lewisville, TX, USA")</f>
        <v>Lewisville, TX, USA</v>
      </c>
      <c r="C7" s="485">
        <v>41362.0</v>
      </c>
      <c r="D7" s="485">
        <v>41364.0</v>
      </c>
      <c r="E7" s="90" t="s">
        <v>464</v>
      </c>
      <c r="F7" s="16" t="s">
        <v>370</v>
      </c>
      <c r="G7" s="494">
        <v>680.0</v>
      </c>
      <c r="H7" s="494">
        <v>680.0</v>
      </c>
      <c r="I7" s="49" t="s">
        <v>465</v>
      </c>
      <c r="J7" s="12" t="str">
        <f>hyperlink("http://www.twitter.com/bronyfest1","@bronyfest1")</f>
        <v>@bronyfest1</v>
      </c>
      <c r="K7" s="12" t="str">
        <f>hyperlink("https://www.facebook.com/BronyFest","BronyFest")</f>
        <v>BronyFest</v>
      </c>
      <c r="L7" s="17"/>
    </row>
    <row r="8">
      <c r="A8" s="495" t="s">
        <v>466</v>
      </c>
      <c r="B8" s="496" t="str">
        <f>hyperlink("https://www.google.com/maps?q=%D1%83%D0%BB.+%D0%9A%D1%80%D0%B0%D1%81%D0%BD%D0%BE%D0%BF%D1%80%D0%BE%D0%BB%D0%B5%D1%82%D0%B0%D1%80%D1%81%D0%BA%D0%B0%D1%8F,+36,+Moscow,+Russia++127473&amp;hl=en&amp;ie=UTF8&amp;ll=55.779662,37.606201&amp;spn=0.512814,1.06842&amp;sll=37.160317,-9"&amp;"5.625&amp;sspn=143.173074,273.515625&amp;hnear=ulitsa+Krasnoproletarskaya,+36,+Moskva,+Russia&amp;t=m&amp;z=10","Moscow, Russia")</f>
        <v>Moscow, Russia</v>
      </c>
      <c r="C8" s="497">
        <v>41364.0</v>
      </c>
      <c r="D8" s="498" t="s">
        <v>13</v>
      </c>
      <c r="E8" s="499"/>
      <c r="F8" s="499"/>
      <c r="G8" s="500"/>
      <c r="H8" s="500"/>
      <c r="I8" s="501" t="s">
        <v>467</v>
      </c>
      <c r="J8" s="499"/>
      <c r="K8" s="496" t="str">
        <f>hyperlink("http://vk.com/rubronycon","rubronycon")</f>
        <v>rubronycon</v>
      </c>
      <c r="L8" s="499"/>
    </row>
    <row r="9">
      <c r="A9" s="164" t="s">
        <v>468</v>
      </c>
      <c r="B9" s="147" t="str">
        <f>hyperlink("https://www.google.com/maps?q=Red+Lion+Hotel,+West+600+South,+Salt+Lake+City,+UT,+United+States&amp;hl=en&amp;sll=52.477438,-1.863632&amp;sspn=0.250512,0.547256&amp;oq=red+lion+hotel+salt+&amp;hq=Red+Lion+Hotel,+West+600+South,+Salt+Lake+City,+UT,+United+States&amp;t=m&amp;z=15","Salt Lake City, UT, USA")</f>
        <v>Salt Lake City, UT, USA</v>
      </c>
      <c r="C9" s="502">
        <v>41369.0</v>
      </c>
      <c r="D9" s="502">
        <v>41370.0</v>
      </c>
      <c r="E9" s="150"/>
      <c r="F9" s="150"/>
      <c r="G9" s="503"/>
      <c r="H9" s="503"/>
      <c r="I9" s="504" t="s">
        <v>469</v>
      </c>
      <c r="J9" s="150"/>
      <c r="K9" s="147" t="str">
        <f>hyperlink("http://www.facebook.com/CrystalMtnPonyCon/","CrystalMtnPonyCon")</f>
        <v>CrystalMtnPonyCon</v>
      </c>
      <c r="L9" s="150"/>
    </row>
    <row r="10">
      <c r="A10" s="505" t="s">
        <v>470</v>
      </c>
      <c r="B10" s="506" t="str">
        <f>hyperlink("https://www.google.com/maps?q=UNSW+Roundhouse,+Kensington,+New+South+Wales,+Australia&amp;hl=en&amp;sll=33.046299,-96.996478&amp;sspn=0.002977,0.004061&amp;oq=UNSW+Round&amp;hq=UNSW+Roundhouse,+Kensington,+New+South+Wales,+Australia&amp;t=m&amp;z=15","Sydney, Australia")</f>
        <v>Sydney, Australia</v>
      </c>
      <c r="C10" s="507">
        <v>41370.0</v>
      </c>
      <c r="D10" s="507">
        <v>41371.0</v>
      </c>
      <c r="E10" s="508"/>
      <c r="F10" s="508"/>
      <c r="G10" s="509"/>
      <c r="H10" s="509"/>
      <c r="I10" s="510" t="s">
        <v>471</v>
      </c>
      <c r="J10" s="489" t="str">
        <f>hyperlink("http://www.twitter.com/PonyconAU","@PonyconAU")</f>
        <v>@PonyconAU</v>
      </c>
      <c r="K10" s="506" t="str">
        <f>hyperlink("https://www.facebook.com/ponyconau","ponyconau")</f>
        <v>ponyconau</v>
      </c>
      <c r="L10" s="506" t="str">
        <f>hyperlink("http://ponyconau.tumblr.com/","ponyconau")</f>
        <v>ponyconau</v>
      </c>
    </row>
    <row r="11">
      <c r="A11" s="164" t="s">
        <v>367</v>
      </c>
      <c r="B11" s="147" t="str">
        <f>hyperlink("https://www.google.com/maps?q=anaheim+marriott&amp;hl=en&amp;sll=37.0625,-95.677068&amp;sspn=42.987658,72.685547&amp;hq=anaheim+marriott&amp;t=m&amp;z=15","Anaheim, CA, USA")</f>
        <v>Anaheim, CA, USA</v>
      </c>
      <c r="C11" s="502">
        <v>41404.0</v>
      </c>
      <c r="D11" s="502">
        <v>41406.0</v>
      </c>
      <c r="E11" s="511" t="s">
        <v>472</v>
      </c>
      <c r="F11" s="164" t="s">
        <v>368</v>
      </c>
      <c r="G11" s="512">
        <v>7480.0</v>
      </c>
      <c r="H11" s="512">
        <v>7480.0</v>
      </c>
      <c r="I11" s="504" t="s">
        <v>473</v>
      </c>
      <c r="J11" s="12" t="str">
        <f>hyperlink("http://www.twitter.com/EquestriaLA","@EquestriaLA")</f>
        <v>@EquestriaLA</v>
      </c>
      <c r="K11" s="147" t="str">
        <f>hyperlink("https://www.facebook.com/EquestriaLA","EquestriaLA")</f>
        <v>EquestriaLA</v>
      </c>
      <c r="L11" s="150"/>
    </row>
    <row r="12">
      <c r="A12" s="488" t="s">
        <v>474</v>
      </c>
      <c r="B12" s="489" t="str">
        <f>hyperlink("https://www.google.com/maps?q=sheraton+hotel+near+Omaha,+NE,+United+States&amp;hl=en&amp;sll=37.0625,-95.677068&amp;sspn=41.903538,59.0625&amp;oq=sheraton+hotel,+omaha&amp;hq=sheraton+hotel&amp;hnear=Omaha,+Douglas,+Nebraska&amp;t=m&amp;z=12","Omaha, NE, USA")</f>
        <v>Omaha, NE, USA</v>
      </c>
      <c r="C12" s="490">
        <v>41404.0</v>
      </c>
      <c r="D12" s="490">
        <v>41406.0</v>
      </c>
      <c r="E12" s="491"/>
      <c r="F12" s="491"/>
      <c r="G12" s="492"/>
      <c r="H12" s="492"/>
      <c r="I12" s="493" t="s">
        <v>475</v>
      </c>
      <c r="J12" s="513" t="str">
        <f>hyperlink("http://www.twitter.com/PON3_CON","@PON3_CON")</f>
        <v>@PON3_CON</v>
      </c>
      <c r="K12" s="491"/>
      <c r="L12" s="489" t="str">
        <f>hyperlink("http://pon3con.tumblr.com/","pon3con")</f>
        <v>pon3con</v>
      </c>
    </row>
    <row r="13">
      <c r="A13" s="474" t="s">
        <v>476</v>
      </c>
      <c r="B13" s="475" t="str">
        <f>hyperlink("https://www.google.com/maps?q=Crowne+Plaza+Cincinnati+North,+Chester+Road,+Cincinnati,+OH,+United+States&amp;hl=en&amp;sll=37.0625,-95.677068&amp;sspn=42.03917,61.787109&amp;oq=crowne+plaza+cinc&amp;hq=Crowne+Plaza+Cincinnati+North,+Chester+Road,+Cincinnati,+OH,+United+State"&amp;"s&amp;t=m&amp;z=14","Cincinnati, OH, USA")</f>
        <v>Cincinnati, OH, USA</v>
      </c>
      <c r="C13" s="476">
        <v>41425.0</v>
      </c>
      <c r="D13" s="476">
        <v>41427.0</v>
      </c>
      <c r="E13" s="477"/>
      <c r="F13" s="477"/>
      <c r="G13" s="478"/>
      <c r="H13" s="478"/>
      <c r="I13" s="514" t="s">
        <v>477</v>
      </c>
      <c r="J13" s="475" t="str">
        <f>hyperlink("http://www.twitter.com/CutieMarkCon","@CutieMarkCon")</f>
        <v>@CutieMarkCon</v>
      </c>
      <c r="K13" s="475" t="str">
        <f>hyperlink("https://www.facebook.com/CutieMarkCon","CutieMarkCon")</f>
        <v>CutieMarkCon</v>
      </c>
      <c r="L13" s="477"/>
    </row>
    <row r="14">
      <c r="A14" s="480" t="s">
        <v>478</v>
      </c>
      <c r="B14" s="481" t="str">
        <f>hyperlink("https://www.google.com/maps?q=Sheraton+Columbus+Hotel+at+Capitol+Square,+East+State+Street,+Columbus,+OH,+United+States&amp;hl=en&amp;sll=-33.916529,151.226807&amp;sspn=0.023576,0.032487&amp;oq=Sheraton+Columbus&amp;hq=Sheraton+Columbus+Hotel+at+Capitol+Square,+East+State+St"&amp;"reet,+Columbus,+OH,+United+States&amp;t=m&amp;z=15","Columbus, OH, USA")</f>
        <v>Columbus, OH, USA</v>
      </c>
      <c r="C14" s="482">
        <v>41439.0</v>
      </c>
      <c r="D14" s="482">
        <v>41441.0</v>
      </c>
      <c r="E14" s="515" t="s">
        <v>479</v>
      </c>
      <c r="F14" s="516" t="s">
        <v>480</v>
      </c>
      <c r="G14" s="517" t="s">
        <v>480</v>
      </c>
      <c r="H14" s="517" t="s">
        <v>480</v>
      </c>
      <c r="I14" s="484" t="s">
        <v>481</v>
      </c>
      <c r="J14" s="481" t="str">
        <f>hyperlink("http://www.twitter.com/TrotCon","@TrotCon")</f>
        <v>@TrotCon</v>
      </c>
      <c r="K14" s="481" t="str">
        <f>hyperlink("https://www.facebook.com/trotcon.ohio","trotcon.ohio")</f>
        <v>trotcon.ohio</v>
      </c>
      <c r="L14" s="481" t="str">
        <f>hyperlink("http://trotcon.tumblr.com/","trotcon")</f>
        <v>trotcon</v>
      </c>
    </row>
    <row r="15">
      <c r="A15" s="16" t="s">
        <v>482</v>
      </c>
      <c r="B15" s="12" t="str">
        <f>hyperlink("https://www.google.com/maps?q=Houston+Marriott+Westchase,+Briarpark+Drive,+Houston,+TX,+United+States&amp;hl=en&amp;sll=39.960115,-82.997647&amp;sspn=0.021776,0.032487&amp;oq=Westchase+M&amp;hq=Houston+Marriott+Westchase,+Briarpark+Drive,+Houston,+TX,+United+States&amp;t=m&amp;z=15","Houston, TX, USA")</f>
        <v>Houston, TX, USA</v>
      </c>
      <c r="C15" s="485">
        <v>41453.0</v>
      </c>
      <c r="D15" s="485">
        <v>41455.0</v>
      </c>
      <c r="E15" s="17"/>
      <c r="F15" s="17"/>
      <c r="G15" s="487"/>
      <c r="H15" s="487"/>
      <c r="I15" s="49" t="s">
        <v>483</v>
      </c>
      <c r="J15" s="12" t="str">
        <f>hyperlink("http://www.twitter.com/FiestaEquestria","@FiestaEquestria")</f>
        <v>@FiestaEquestria</v>
      </c>
      <c r="K15" s="12" t="str">
        <f>hyperlink("https://www.facebook.com/pages/Fiesta-Equestria-2013/465591543463252","[link]")</f>
        <v>[link]</v>
      </c>
      <c r="L15" s="12" t="str">
        <f>hyperlink("http://fiestaequestria.tumblr.com/","fiestaequestria")</f>
        <v>fiestaequestria</v>
      </c>
    </row>
    <row r="16">
      <c r="A16" s="505" t="s">
        <v>365</v>
      </c>
      <c r="B16" s="506" t="str">
        <f>hyperlink("https://www.google.com/maps?q=Hilton+Garden+Inn+Tampa%2FRiverview%2FBrandon,+Garden+Vista+Drive,+Riverview,+FL,+United+States&amp;hl=en&amp;sll=29.734286,-95.550173&amp;sspn=0.024669,0.032487&amp;oq=hilton+garden+inn+riverview&amp;hq=Hilton+Garden+Inn+Tampa%2FRiverview%2FBra"&amp;"ndon,+Garden+Vista+Drive,+Riverview,+FL,+United+States&amp;t=m&amp;z=15","Riverview, FL, USA")</f>
        <v>Riverview, FL, USA</v>
      </c>
      <c r="C16" s="507">
        <v>41454.0</v>
      </c>
      <c r="D16" s="518" t="s">
        <v>13</v>
      </c>
      <c r="E16" s="505">
        <v>326.0</v>
      </c>
      <c r="F16" s="505" t="s">
        <v>366</v>
      </c>
      <c r="G16" s="519">
        <v>2000.0</v>
      </c>
      <c r="H16" s="519">
        <v>2000.0</v>
      </c>
      <c r="I16" s="510" t="s">
        <v>484</v>
      </c>
      <c r="J16" s="506" t="str">
        <f>hyperlink("http://www.twitter.com/grandbronygala","@GrandBronyGala")</f>
        <v>@GrandBronyGala</v>
      </c>
      <c r="K16" s="506" t="str">
        <f>hyperlink("http://Facebook.com/TheGrandBronyGala","TheGrandBronyGala")</f>
        <v>TheGrandBronyGala</v>
      </c>
      <c r="L16" s="508"/>
    </row>
    <row r="17">
      <c r="A17" s="164" t="s">
        <v>364</v>
      </c>
      <c r="B17" s="147" t="str">
        <f>hyperlink("https://www.google.com/maps?q=Hilton+Seattle+Airport+%26+Conference+Center,+International+Boulevard,+Seattle,+WA,+United+States&amp;hl=en&amp;sll=37.0625,-95.677068&amp;sspn=45.822921,66.533203&amp;oq=seattle+airport+hilton&amp;hq=Hilton+Seattle+Airport+%26+Conference+Center"&amp;",+International+Boulevard,+Seattle,+WA,+United+States&amp;radius=15000&amp;t=m&amp;z=13","Seattle, WA, USA")</f>
        <v>Seattle, WA, USA</v>
      </c>
      <c r="C17" s="502">
        <v>41460.0</v>
      </c>
      <c r="D17" s="502">
        <v>41462.0</v>
      </c>
      <c r="E17" s="164">
        <v>2272.0</v>
      </c>
      <c r="F17" s="164" t="s">
        <v>40</v>
      </c>
      <c r="G17" s="512">
        <v>21009.44</v>
      </c>
      <c r="H17" s="512">
        <v>21009.44</v>
      </c>
      <c r="I17" s="504" t="s">
        <v>485</v>
      </c>
      <c r="J17" s="147" t="str">
        <f>hyperlink("http://www.twitter.com/EverfreeNW","@EverfreeNW")</f>
        <v>@EverfreeNW</v>
      </c>
      <c r="K17" s="147" t="str">
        <f>hyperlink("https://www.facebook.com/EverfreeNW","EverfreeNW")</f>
        <v>EverfreeNW</v>
      </c>
      <c r="L17" s="147" t="str">
        <f>hyperlink("http://everfreenw.tumblr.com/","EverfreeNW")</f>
        <v>EverfreeNW</v>
      </c>
    </row>
    <row r="18">
      <c r="A18" s="488" t="s">
        <v>486</v>
      </c>
      <c r="B18" s="489" t="str">
        <f>hyperlink("https://www.google.com/maps?q=Sheraton+Indianapolis+Hotel+at+Keystone+Crossing,+Keystone+Crossing,+Indianapolis,+IN,+United+States&amp;hl=en&amp;sll=33.798709,-117.918996&amp;sspn=0.022111,0.035491&amp;oq=sheraton+indian&amp;hq=Sheraton+Indianapolis+Hotel+at+Keystone+Crossin"&amp;"g,+Keystone+Crossing,+Indianapolis,+IN,+United+States&amp;t=m&amp;z=15","Indianapolis, IN, USA")</f>
        <v>Indianapolis, IN, USA</v>
      </c>
      <c r="C18" s="490">
        <v>41461.0</v>
      </c>
      <c r="D18" s="490">
        <v>41462.0</v>
      </c>
      <c r="E18" s="491"/>
      <c r="F18" s="491"/>
      <c r="G18" s="492"/>
      <c r="H18" s="492"/>
      <c r="I18" s="493" t="s">
        <v>487</v>
      </c>
      <c r="J18" s="489" t="str">
        <f>hyperlink("http://www.twitter.com/MyLittlePonyCon","@MyLittlePonyCon")</f>
        <v>@MyLittlePonyCon</v>
      </c>
      <c r="K18" s="489" t="str">
        <f>hyperlink("https://www.facebook.com/pages/My-Little-Pony-Fair-and-Convention/230605296972598","MLP Fair and Convention")</f>
        <v>MLP Fair and Convention</v>
      </c>
      <c r="L18" s="491"/>
    </row>
    <row r="19">
      <c r="A19" s="474" t="s">
        <v>362</v>
      </c>
      <c r="B19" s="475" t="str">
        <f>hyperlink("https://www.google.com/maps?q=Overland+Park+Convention+Center,+College+Boulevard,+Overland+Park,+KS,+United+States&amp;hl=en&amp;sll=38.982228,-94.670792&amp;sspn=0.675735,0.965424&amp;oq=Overland+Park+con&amp;hq=Overland+Park+Convention+Center,+College+Boulevard,+Overland+P"&amp;"ark,+KS,+United+States&amp;t=m&amp;z=16","Kansas City, KS, USA")</f>
        <v>Kansas City, KS, USA</v>
      </c>
      <c r="C19" s="476">
        <v>41482.0</v>
      </c>
      <c r="D19" s="476">
        <v>41483.0</v>
      </c>
      <c r="E19" s="474">
        <v>392.0</v>
      </c>
      <c r="F19" s="474" t="s">
        <v>368</v>
      </c>
      <c r="G19" s="520">
        <v>1606.0</v>
      </c>
      <c r="H19" s="520">
        <v>1606.0</v>
      </c>
      <c r="I19" s="514" t="s">
        <v>488</v>
      </c>
      <c r="J19" s="475" t="str">
        <f>hyperlink("http://www.twitter.com/mwbfkc","@mwbfkc")</f>
        <v>@mwbfkc</v>
      </c>
      <c r="K19" s="475" t="str">
        <f>hyperlink("https://www.facebook.com/MidwestBronyFest","MidwestBronyFest")</f>
        <v>MidwestBronyFest</v>
      </c>
      <c r="L19" s="477"/>
    </row>
    <row r="20">
      <c r="A20" s="480" t="s">
        <v>359</v>
      </c>
      <c r="B20" s="481" t="str">
        <f>hyperlink("https://www.google.com/maps?q=Baltimore+Convention+Center,+West+Pratt+Street,+Baltimore,+MD,+United+States&amp;hl=en&amp;sll=37.0625,-95.677068&amp;sspn=42.03917,61.787109&amp;oq=baltimore+convention+center&amp;hq=Baltimore+Convention+Center,+West+Pratt+Street,+Baltimore,+MD"&amp;",+United+States&amp;t=m&amp;z=14","Baltimore, MD, USA")</f>
        <v>Baltimore, MD, USA</v>
      </c>
      <c r="C20" s="482">
        <v>41488.0</v>
      </c>
      <c r="D20" s="482">
        <v>41490.0</v>
      </c>
      <c r="E20" s="480">
        <v>8407.0</v>
      </c>
      <c r="F20" s="480" t="s">
        <v>360</v>
      </c>
      <c r="G20" s="521" t="s">
        <v>489</v>
      </c>
      <c r="H20" s="483">
        <v>23000.0</v>
      </c>
      <c r="I20" s="484" t="s">
        <v>490</v>
      </c>
      <c r="J20" s="481" t="str">
        <f>hyperlink("http://www.twitter.com/BronyCon","@BronyCon")</f>
        <v>@BronyCon</v>
      </c>
      <c r="K20" s="481" t="str">
        <f>hyperlink("https://www.facebook.com/BronyCon","BronyCon")</f>
        <v>BronyCon</v>
      </c>
      <c r="L20" s="481" t="str">
        <f>hyperlink("http://bronycon.tumblr.com/","BronyCon")</f>
        <v>BronyCon</v>
      </c>
    </row>
    <row r="21">
      <c r="A21" s="16" t="s">
        <v>357</v>
      </c>
      <c r="B21" s="12" t="str">
        <f>hyperlink("https://www.google.com/maps?q=Forum+am+Schlosspark&amp;hl=en&amp;sll=52.477438,-1.863632&amp;sspn=0.250512,0.547256&amp;hq=Forum+am+Schlosspark&amp;t=m&amp;z=15","Ludwigsburg, Germany")</f>
        <v>Ludwigsburg, Germany</v>
      </c>
      <c r="C21" s="485">
        <v>41489.0</v>
      </c>
      <c r="D21" s="485">
        <v>41490.0</v>
      </c>
      <c r="E21" s="90" t="s">
        <v>491</v>
      </c>
      <c r="F21" s="17"/>
      <c r="G21" s="487"/>
      <c r="H21" s="522">
        <f>IFERROR(__xludf.DUMMYFUNCTION("11632*GoogleFinance(""CURRENCY:EURUSD"")"),14152.119327999999)</f>
        <v>14152.11933</v>
      </c>
      <c r="I21" s="49" t="s">
        <v>492</v>
      </c>
      <c r="J21" s="12" t="str">
        <f>hyperlink("http://www.twitter.com/gala_con","@gala_con")</f>
        <v>@gala_con</v>
      </c>
      <c r="K21" s="12" t="str">
        <f>hyperlink("https://www.facebook.com/GalaConEU","GalaConEU")</f>
        <v>GalaConEU</v>
      </c>
      <c r="L21" s="17"/>
    </row>
    <row r="22">
      <c r="A22" s="488" t="s">
        <v>355</v>
      </c>
      <c r="B22" s="489" t="str">
        <f>hyperlink("https://www.google.com/maps?q=The+Bridgewater+Hall,+Lower+Mosley+Street,+Manchester,+United+Kingdom&amp;hl=en&amp;sll=37.0625,-95.677068&amp;sspn=45.957536,69.873047&amp;oq=the+bridgewater+hall&amp;hq=The+Bridgewater+Hall,+Lower+Mosley+Street,+Manchester,+United+Kingdom&amp;radi"&amp;"us=15000&amp;t=m&amp;z=12&amp;iwloc=A","Manchester, UK")</f>
        <v>Manchester, UK</v>
      </c>
      <c r="C22" s="490">
        <v>41509.0</v>
      </c>
      <c r="D22" s="490">
        <v>41511.0</v>
      </c>
      <c r="E22" s="523" t="s">
        <v>493</v>
      </c>
      <c r="F22" s="488" t="s">
        <v>356</v>
      </c>
      <c r="G22" s="524">
        <v>8025.0</v>
      </c>
      <c r="H22" s="509">
        <f>IFERROR(__xludf.DUMMYFUNCTION("G22*GoogleFinance(""CURRENCY:GBPUSD"")"),11363.953725)</f>
        <v>11363.95373</v>
      </c>
      <c r="I22" s="493" t="s">
        <v>494</v>
      </c>
      <c r="J22" s="489" t="str">
        <f>hyperlink("http://www.twitter.com/BUCKcon","@BUCKcon")</f>
        <v>@BUCKcon</v>
      </c>
      <c r="K22" s="489" t="str">
        <f>hyperlink("https://www.facebook.com/BUCKCon","BUCKCon")</f>
        <v>BUCKCon</v>
      </c>
      <c r="L22" s="489" t="str">
        <f>hyperlink("http://askbritannia.tumblr.com/","askbritannia")</f>
        <v>askbritannia</v>
      </c>
    </row>
    <row r="23">
      <c r="A23" s="474" t="s">
        <v>353</v>
      </c>
      <c r="B23" s="475" t="str">
        <f>hyperlink("https://www.google.com/maps?q=Executive+Airport+Plaza+Hotel+%26+Conference+Centre+Richmond,+Westminster+Highway,+Richmond,+BC,+Canada&amp;hl=en&amp;sll=49.172193,-123.140795&amp;sspn=0.007632,0.016952&amp;oq=executive+airport+&amp;hq=Executive+Airport+Plaza+Hotel+%26+Confere"&amp;"nce+Centre+Richmond,+Westminster+Highway,+Richmond,+BC,+Canada&amp;t=m&amp;z=15","Richmond, B.C., Canada")</f>
        <v>Richmond, B.C., Canada</v>
      </c>
      <c r="C23" s="476">
        <v>41510.0</v>
      </c>
      <c r="D23" s="476">
        <v>41511.0</v>
      </c>
      <c r="E23" s="474">
        <v>820.0</v>
      </c>
      <c r="F23" s="474" t="s">
        <v>354</v>
      </c>
      <c r="G23" s="525">
        <v>8336.0</v>
      </c>
      <c r="H23" s="503">
        <f>IFERROR(__xludf.DUMMYFUNCTION("8336*GoogleFinance(""CURRENCY:CADUSD"")"),6898.6643664)</f>
        <v>6898.664366</v>
      </c>
      <c r="I23" s="49" t="s">
        <v>495</v>
      </c>
      <c r="J23" s="12" t="str">
        <f>hyperlink("http://www.twitter.com/BronyCAN","@BronyCAN")</f>
        <v>@BronyCAN</v>
      </c>
      <c r="K23" s="12" t="str">
        <f>hyperlink("http://www.facebook.com/groups/BronyCan/","BronyCan")</f>
        <v>BronyCan</v>
      </c>
      <c r="L23" s="12" t="str">
        <f>hyperlink("http://ask-bronycan.tumblr.com/","ask-bronycan")</f>
        <v>ask-bronycan</v>
      </c>
    </row>
    <row r="24">
      <c r="A24" s="480" t="s">
        <v>351</v>
      </c>
      <c r="B24" s="481" t="str">
        <f>hyperlink("https://www.google.com/maps?q=Mercure+Holland+House+Hotel+and+Spa,+Newport+Road,+Cardiff,+United+Kingdom&amp;hl=en&amp;ll=51.483868,-3.167024&amp;spn=0.018761,0.029826&amp;sll=37.0625,-95.677068&amp;sspn=48.50801,61.083984&amp;oq=mercure+holland+house&amp;hq=Mercure+Holland+House+Ho"&amp;"tel+and+Spa,+Newport+Road,&amp;hnear=Cardiff,+United+Kingdom&amp;t=m&amp;z=15&amp;iwloc=A","Cardiff, Wales, UK")</f>
        <v>Cardiff, Wales, UK</v>
      </c>
      <c r="C24" s="482">
        <v>41524.0</v>
      </c>
      <c r="D24" s="482">
        <v>41525.0</v>
      </c>
      <c r="E24" s="515" t="s">
        <v>496</v>
      </c>
      <c r="F24" s="480" t="s">
        <v>352</v>
      </c>
      <c r="G24" s="521" t="s">
        <v>497</v>
      </c>
      <c r="H24" s="509">
        <f>IFERROR(__xludf.DUMMYFUNCTION("1700*GoogleFinance(""CURRENCY:GBPUSD"")"),2407.3173)</f>
        <v>2407.3173</v>
      </c>
      <c r="I24" s="526" t="s">
        <v>498</v>
      </c>
      <c r="J24" s="489" t="str">
        <f>hyperlink("http://www.twitter.com/UKPonyCon","@UKPonyCon")</f>
        <v>@UKPonyCon</v>
      </c>
      <c r="K24" s="489" t="str">
        <f>hyperlink("http://www.facebook.com/ponycon","Ponycon")</f>
        <v>Ponycon</v>
      </c>
      <c r="L24" s="491"/>
    </row>
    <row r="25">
      <c r="A25" s="16" t="s">
        <v>499</v>
      </c>
      <c r="B25" s="12" t="str">
        <f>hyperlink("https://www.google.com/maps?q=holiday+inn+austin+midtown&amp;hl=en&amp;sll=37.0625,-95.677068&amp;sspn=41.903538,59.0625&amp;hq=holiday+inn+austin+midtown&amp;t=m&amp;z=13","Austin, TX, USA")</f>
        <v>Austin, TX, USA</v>
      </c>
      <c r="C25" s="485">
        <v>41530.0</v>
      </c>
      <c r="D25" s="485">
        <v>41532.0</v>
      </c>
      <c r="E25" s="90" t="s">
        <v>500</v>
      </c>
      <c r="F25" s="527" t="s">
        <v>480</v>
      </c>
      <c r="G25" s="528" t="s">
        <v>480</v>
      </c>
      <c r="H25" s="529" t="s">
        <v>480</v>
      </c>
      <c r="I25" s="49" t="s">
        <v>501</v>
      </c>
      <c r="J25" s="12" t="str">
        <f>hyperlink("http://www.twitter.com/BronyFanFair","@BronyFanFair")</f>
        <v>@BronyFanFair</v>
      </c>
      <c r="K25" s="12" t="str">
        <f>hyperlink("https://www.facebook.com/BronyFanFair","BronyFanFair")</f>
        <v>BronyFanFair</v>
      </c>
      <c r="L25" s="17"/>
    </row>
    <row r="26">
      <c r="A26" s="72" t="s">
        <v>349</v>
      </c>
      <c r="B26" s="65" t="str">
        <f>hyperlink("http://goo.gl/maps/cMS3A","Sacramento, CA, USA")</f>
        <v>Sacramento, CA, USA</v>
      </c>
      <c r="C26" s="472">
        <v>41531.0</v>
      </c>
      <c r="D26" s="473" t="s">
        <v>13</v>
      </c>
      <c r="E26" s="71"/>
      <c r="F26" s="71"/>
      <c r="G26" s="130"/>
      <c r="H26" s="500"/>
      <c r="I26" s="66" t="s">
        <v>502</v>
      </c>
      <c r="J26" s="65" t="str">
        <f>hyperlink("http://www.twitter.com/SacBronyExpo","@SacBronyExpo")</f>
        <v>@SacBronyExpo</v>
      </c>
      <c r="K26" s="65" t="str">
        <f>hyperlink("https://www.facebook.com/SacBronyExpo","SacBronyExpo")</f>
        <v>SacBronyExpo</v>
      </c>
      <c r="L26" s="71"/>
    </row>
    <row r="27">
      <c r="A27" s="16" t="s">
        <v>503</v>
      </c>
      <c r="B27" s="12" t="str">
        <f>hyperlink("https://www.google.co.jp/maps?ie=UTF8&amp;f=d&amp;dirflg=r&amp;saddr=&amp;daddr=35.698105,139.790039+(%E3%80%92111-0052+%E6%9D%B1%E4%BA%AC%E9%83%BD%E5%8F%B0%E6%9D%B1%E5%8C%BA%E6%9F%B3%E6%A9%8B%EF%BC%92%E4%B8%81%E7%9B%AE%EF%BC%91%E2%88%92%EF%BC%99)&amp;date=&amp;time=&amp;ttype=dep&amp;s"&amp;"ort=time","Asakusabashi, Tokyo, Japan")</f>
        <v>Asakusabashi, Tokyo, Japan</v>
      </c>
      <c r="C27" s="485">
        <v>41532.0</v>
      </c>
      <c r="D27" s="486" t="s">
        <v>13</v>
      </c>
      <c r="E27" s="16">
        <v>92.0</v>
      </c>
      <c r="F27" s="527" t="s">
        <v>480</v>
      </c>
      <c r="G27" s="528" t="s">
        <v>480</v>
      </c>
      <c r="H27" s="530" t="s">
        <v>480</v>
      </c>
      <c r="I27" s="49" t="s">
        <v>504</v>
      </c>
      <c r="J27" s="12" t="str">
        <f>hyperlink("http://www.twitter.com/JapanPonyCon","@JapanPonyCon")</f>
        <v>@JapanPonyCon</v>
      </c>
      <c r="K27" s="17"/>
      <c r="L27" s="17"/>
    </row>
    <row r="28">
      <c r="A28" s="531" t="s">
        <v>505</v>
      </c>
      <c r="B28" s="65" t="str">
        <f>hyperlink("https://plus.google.com/111390102786324802541/about?hl=en","Madrid, Spain")</f>
        <v>Madrid, Spain</v>
      </c>
      <c r="C28" s="472">
        <v>41538.0</v>
      </c>
      <c r="D28" s="472">
        <v>41539.0</v>
      </c>
      <c r="E28" s="70" t="s">
        <v>506</v>
      </c>
      <c r="F28" s="531" t="s">
        <v>480</v>
      </c>
      <c r="G28" s="532" t="s">
        <v>480</v>
      </c>
      <c r="H28" s="517" t="s">
        <v>480</v>
      </c>
      <c r="I28" s="66" t="s">
        <v>507</v>
      </c>
      <c r="J28" s="12" t="str">
        <f>hyperlink("http://www.twitter.com/Maredrid","@Maredrid")</f>
        <v>@Maredrid</v>
      </c>
      <c r="K28" s="71"/>
      <c r="L28" s="71"/>
    </row>
    <row r="29">
      <c r="A29" s="16" t="s">
        <v>508</v>
      </c>
      <c r="B29" s="12" t="str">
        <f>hyperlink("https://www.google.com/maps?q=Sheraton-Westport+Plaza,+Westport+Plaza,+St.+Louis,+MO,+United+States&amp;hl=en&amp;sll=37.0625,-95.677068&amp;sspn=45.149289,62.050781&amp;oq=sheraton+westport&amp;hq=Sheraton-Westport+Plaza,+Westport+Plaza,+St.+Louis,+MO,+United+States&amp;radius="&amp;"15000&amp;t=m&amp;z=13","St. Louis, MO, USA")</f>
        <v>St. Louis, MO, USA</v>
      </c>
      <c r="C29" s="485">
        <v>41544.0</v>
      </c>
      <c r="D29" s="485">
        <v>41546.0</v>
      </c>
      <c r="E29" s="17"/>
      <c r="F29" s="17"/>
      <c r="G29" s="487"/>
      <c r="H29" s="487"/>
      <c r="I29" s="49" t="s">
        <v>509</v>
      </c>
      <c r="J29" s="12" t="str">
        <f>hyperlink("https://www.twitter.com/CrystalFairSTL","@CrystalFairSTL")</f>
        <v>@CrystalFairSTL</v>
      </c>
      <c r="K29" s="12" t="str">
        <f>hyperlink("https://www.facebook.com/CrsystalFairStl","CrsystalFairSTL")</f>
        <v>CrsystalFairSTL</v>
      </c>
      <c r="L29" s="17"/>
    </row>
    <row r="30">
      <c r="A30" s="72" t="s">
        <v>510</v>
      </c>
      <c r="B30" s="65" t="str">
        <f>hyperlink("https://www.google.com/maps?q=Hilton+Riverside,+Poydras+Street,+New+Orleans,+LA,+United+States&amp;hl=en&amp;sll=37.0625,-95.677068&amp;sspn=44.879582,93.076172&amp;oq=hilton+riverside&amp;hq=Hilton+Riverside,+Poydras+Street,+New+Orleans,+LA,+United+States&amp;t=m&amp;z=15","New Orleans, LA, USA")</f>
        <v>New Orleans, LA, USA</v>
      </c>
      <c r="C30" s="472">
        <v>41551.0</v>
      </c>
      <c r="D30" s="472">
        <v>41553.0</v>
      </c>
      <c r="E30" s="72">
        <v>137.0</v>
      </c>
      <c r="F30" s="71"/>
      <c r="G30" s="130"/>
      <c r="H30" s="130"/>
      <c r="I30" s="66" t="s">
        <v>511</v>
      </c>
      <c r="J30" s="65" t="str">
        <f>hyperlink("http://www.twitter.com/DerpyConS","@DerpyConS")</f>
        <v>@DerpyConS</v>
      </c>
      <c r="K30" s="71"/>
      <c r="L30" s="71"/>
    </row>
    <row r="31">
      <c r="A31" s="16" t="s">
        <v>512</v>
      </c>
      <c r="B31" s="12" t="str">
        <f>hyperlink("https://www.google.com/maps?q=Mesa+Convention+Center,+North+Center+Street,+Mesa,+AZ,+United+States&amp;hl=en&amp;sll=33.449351,-112.069268&amp;sspn=0.023346,0.030298&amp;oq=mesa+convention+center&amp;hq=Mesa+Convention+Center,+North+Center+Street,+Mesa,+AZ,+United+States&amp;t=m"&amp;"&amp;z=14","Phoenix, AZ, USA")</f>
        <v>Phoenix, AZ, USA</v>
      </c>
      <c r="C31" s="485">
        <v>41565.0</v>
      </c>
      <c r="D31" s="485">
        <v>41567.0</v>
      </c>
      <c r="E31" s="17"/>
      <c r="F31" s="17"/>
      <c r="G31" s="487"/>
      <c r="H31" s="478"/>
      <c r="I31" s="533" t="s">
        <v>513</v>
      </c>
      <c r="J31" s="12" t="str">
        <f>hyperlink("http://www.twitter.com/AppleloosaCon","@AppleloosaCon")</f>
        <v>@AppleloosaCon</v>
      </c>
      <c r="K31" s="17"/>
      <c r="L31" s="17"/>
    </row>
    <row r="32">
      <c r="A32" s="72" t="s">
        <v>347</v>
      </c>
      <c r="B32" s="65" t="str">
        <f>hyperlink("https://www.google.com/maps?q=23+Rue+%C3%89mile+Zola+street+93100+MONTREUIL&amp;hl=en&amp;ie=UTF8&amp;sll=37.0625,-95.677068&amp;sspn=36.368578,65.566406&amp;hnear=23+Rue+Emile+Zola,+93100+Montreuil,+Seine-Saint-Denis,+%C3%8Ele-de-France,+France&amp;t=m&amp;z=16","Paris, France")</f>
        <v>Paris, France</v>
      </c>
      <c r="C32" s="472">
        <v>41573.0</v>
      </c>
      <c r="D32" s="472">
        <v>41574.0</v>
      </c>
      <c r="E32" s="72">
        <v>286.0</v>
      </c>
      <c r="F32" s="72" t="s">
        <v>348</v>
      </c>
      <c r="G32" s="534">
        <v>3110.0</v>
      </c>
      <c r="H32" s="535">
        <f>IFERROR(__xludf.DUMMYFUNCTION("3100*GoogleFinance(""CURRENCY:EURUSD"")"),3771.6274)</f>
        <v>3771.6274</v>
      </c>
      <c r="I32" s="66" t="s">
        <v>514</v>
      </c>
      <c r="J32" s="65" t="str">
        <f>hyperlink("http://www.twitter.com/BronyDays","@BronyDays")</f>
        <v>@BronyDays</v>
      </c>
      <c r="K32" s="65" t="str">
        <f>hyperlink("https://www.facebook.com/BronyDays","BronyDays")</f>
        <v>BronyDays</v>
      </c>
      <c r="L32" s="71"/>
    </row>
    <row r="33">
      <c r="A33" s="474" t="s">
        <v>515</v>
      </c>
      <c r="B33" s="475" t="str">
        <f>hyperlink("https://www.google.com/maps?q=Ramada+Plaza+Denver+North,+East+120th+Avenue,+Denver,+CO,+United+States&amp;hl=en&amp;sll=39.868642,-104.977112&amp;sspn=0.739923,1.299133&amp;oq=ramada+plaza+den&amp;hq=Ramada+Plaza+Denver+North,+East+120th+Avenue,+Denver,+CO,+United+States&amp;rad"&amp;"ius=15000&amp;t=m&amp;z=13","Northglenn, CO, USA")</f>
        <v>Northglenn, CO, USA</v>
      </c>
      <c r="C33" s="536">
        <v>41578.0</v>
      </c>
      <c r="D33" s="537">
        <v>41581.0</v>
      </c>
      <c r="E33" s="17"/>
      <c r="F33" s="17"/>
      <c r="G33" s="487"/>
      <c r="H33" s="487"/>
      <c r="I33" s="514" t="s">
        <v>516</v>
      </c>
      <c r="J33" s="475" t="str">
        <f>hyperlink("https://www.twitter.com/RotLCon","@RotLCon")</f>
        <v>@RotLCon</v>
      </c>
      <c r="K33" s="475" t="str">
        <f>hyperlink("https://www.facebook.com/RotLCon","RotLCon")</f>
        <v>RotLCon</v>
      </c>
      <c r="L33" s="477"/>
    </row>
    <row r="34">
      <c r="A34" s="538" t="s">
        <v>517</v>
      </c>
      <c r="B34" s="539" t="str">
        <f>hyperlink("https://www.google.com/maps?q=Radisson+Hotel+Nashua,+Tara+Boulevard,+Nashua,+NH,+United+States&amp;hl=en&amp;sll=42.739826,-71.475334&amp;sspn=0.083714,0.136471&amp;oq=Nashua+Radisson+hotel+nash&amp;hq=Radisson+Hotel+Nashua,&amp;hnear=Tara+Blvd,+Nashua,+New+Hampshire+03062&amp;t=m&amp;z"&amp;"=16","Nashua, NH, USA")</f>
        <v>Nashua, NH, USA</v>
      </c>
      <c r="C34" s="540">
        <v>41580.0</v>
      </c>
      <c r="D34" s="472">
        <v>41581.0</v>
      </c>
      <c r="E34" s="71"/>
      <c r="F34" s="71"/>
      <c r="G34" s="130"/>
      <c r="H34" s="130"/>
      <c r="I34" s="541" t="s">
        <v>518</v>
      </c>
      <c r="J34" s="539" t="str">
        <f>hyperlink("http://www.twitter.com/drawncon","@DrawnCon")</f>
        <v>@DrawnCon</v>
      </c>
      <c r="K34" s="542"/>
      <c r="L34" s="542"/>
    </row>
    <row r="35">
      <c r="A35" s="16" t="s">
        <v>345</v>
      </c>
      <c r="B35" s="12" t="str">
        <f>hyperlink("https://www.google.com/maps?q=crowne+plaza+hotel+north+dallas&amp;hl=en&amp;ll=37.788081,-95.712891&amp;spn=37.493476,71.015625&amp;sll=37.0625,-95.677068&amp;sspn=37.819897,71.015625&amp;hq=crowne+plaza+hotel+north+dallas&amp;t=m&amp;z=4&amp;iwloc=A","Dallas, TX, USA")</f>
        <v>Dallas, TX, USA</v>
      </c>
      <c r="C35" s="485">
        <v>41586.0</v>
      </c>
      <c r="D35" s="485">
        <v>41588.0</v>
      </c>
      <c r="E35" s="90" t="s">
        <v>500</v>
      </c>
      <c r="F35" s="16" t="s">
        <v>346</v>
      </c>
      <c r="G35" s="543" t="s">
        <v>519</v>
      </c>
      <c r="H35" s="520">
        <v>12242.0</v>
      </c>
      <c r="I35" s="49" t="s">
        <v>520</v>
      </c>
      <c r="J35" s="12" t="str">
        <f>hyperlink("http://www.twitter.com/NightmareNights","@NightmareNights")</f>
        <v>@NightmareNights</v>
      </c>
      <c r="K35" s="17"/>
      <c r="L35" s="17"/>
    </row>
    <row r="36">
      <c r="A36" s="72" t="s">
        <v>344</v>
      </c>
      <c r="B36" s="65" t="str">
        <f>hyperlink("https://www.google.com/maps?q=Hilton+Toronto+Airport+Hotel+%26+Suites,+Airport+Road,+Mississauga,+ON,+Canada&amp;hl=en&amp;sll=43.687736,-79.600067&amp;sspn=0.647467,0.969543&amp;oq=hilton+toronto&amp;hq=Hilton+Toronto+Airport+Hotel+%26+Suites,&amp;hnear=Airport+Rd,+Mississauga,"&amp;"+Ontario,+Canada&amp;t=m&amp;z=13","Toronto, Ontario, Canada")</f>
        <v>Toronto, Ontario, Canada</v>
      </c>
      <c r="C36" s="472">
        <v>41594.0</v>
      </c>
      <c r="D36" s="472">
        <v>41595.0</v>
      </c>
      <c r="E36" s="72">
        <v>400.0</v>
      </c>
      <c r="F36" s="71"/>
      <c r="G36" s="544">
        <v>2200.0</v>
      </c>
      <c r="H36" s="535">
        <f>IFERROR(__xludf.DUMMYFUNCTION("2200*GoogleFinance(""CURRENCY:CADUSD"")"),1820.66478)</f>
        <v>1820.66478</v>
      </c>
      <c r="I36" s="66" t="s">
        <v>521</v>
      </c>
      <c r="J36" s="65" t="str">
        <f>hyperlink("http://www.twitter.com/CANterlotCon","@CANterlotCon")</f>
        <v>@CANterlotCon</v>
      </c>
      <c r="K36" s="65" t="str">
        <f>hyperlink("https://www.facebook.com/CaNterlotCon","CaNterlotCon")</f>
        <v>CaNterlotCon</v>
      </c>
      <c r="L36" s="71"/>
    </row>
    <row r="37">
      <c r="A37" s="71"/>
      <c r="B37" s="71"/>
      <c r="C37" s="545"/>
      <c r="D37" s="545"/>
      <c r="E37" s="71"/>
      <c r="F37" s="71"/>
      <c r="G37" s="130"/>
      <c r="H37" s="130">
        <f>SUM(H2:H36)</f>
        <v>109431.7869</v>
      </c>
      <c r="I37" s="73"/>
      <c r="J37" s="71"/>
      <c r="K37" s="71"/>
      <c r="L37" s="71"/>
    </row>
    <row r="38">
      <c r="A38" s="546" t="s">
        <v>128</v>
      </c>
      <c r="B38" s="88">
        <v>41610.0</v>
      </c>
      <c r="C38" s="71"/>
      <c r="D38" s="71"/>
      <c r="E38" s="71"/>
      <c r="F38" s="71"/>
      <c r="G38" s="130"/>
      <c r="H38" s="130"/>
      <c r="I38" s="73"/>
      <c r="J38" s="71"/>
      <c r="K38" s="71"/>
      <c r="L38" s="71"/>
    </row>
    <row r="39">
      <c r="A39" s="134"/>
      <c r="B39" s="547"/>
      <c r="C39" s="71"/>
      <c r="D39" s="71"/>
      <c r="E39" s="71"/>
      <c r="F39" s="71"/>
      <c r="G39" s="130"/>
      <c r="H39" s="130"/>
      <c r="I39" s="73"/>
      <c r="J39" s="71"/>
      <c r="K39" s="71"/>
      <c r="L39" s="71"/>
    </row>
    <row r="40">
      <c r="A40" s="134"/>
      <c r="B40" s="547"/>
      <c r="C40" s="71"/>
      <c r="D40" s="71"/>
      <c r="E40" s="71"/>
      <c r="F40" s="71"/>
      <c r="G40" s="130"/>
      <c r="H40" s="130"/>
      <c r="I40" s="73"/>
      <c r="J40" s="71"/>
      <c r="K40" s="71"/>
      <c r="L40" s="71"/>
    </row>
    <row r="41">
      <c r="A41" s="134"/>
      <c r="B41" s="547"/>
      <c r="C41" s="71"/>
      <c r="D41" s="71"/>
      <c r="E41" s="71"/>
      <c r="F41" s="71"/>
      <c r="G41" s="130"/>
      <c r="H41" s="130"/>
      <c r="I41" s="73"/>
      <c r="J41" s="71"/>
      <c r="K41" s="71"/>
      <c r="L41" s="71"/>
    </row>
    <row r="42">
      <c r="A42" s="134"/>
      <c r="B42" s="547"/>
      <c r="C42" s="71"/>
      <c r="D42" s="71"/>
      <c r="E42" s="71"/>
      <c r="F42" s="71"/>
      <c r="G42" s="130"/>
      <c r="H42" s="130"/>
      <c r="I42" s="73"/>
      <c r="J42" s="71"/>
      <c r="K42" s="71"/>
      <c r="L42" s="71"/>
    </row>
    <row r="43">
      <c r="A43" s="134"/>
      <c r="B43" s="547"/>
      <c r="C43" s="71"/>
      <c r="D43" s="71"/>
      <c r="E43" s="71"/>
      <c r="F43" s="71"/>
      <c r="G43" s="130"/>
      <c r="H43" s="130"/>
      <c r="I43" s="73"/>
      <c r="J43" s="71"/>
      <c r="K43" s="71"/>
      <c r="L43" s="71"/>
    </row>
    <row r="44">
      <c r="A44" s="134"/>
      <c r="B44" s="547"/>
      <c r="C44" s="71"/>
      <c r="D44" s="71"/>
      <c r="E44" s="71"/>
      <c r="F44" s="71"/>
      <c r="G44" s="130"/>
      <c r="H44" s="130"/>
      <c r="I44" s="73"/>
      <c r="J44" s="71"/>
      <c r="K44" s="71"/>
      <c r="L44" s="71"/>
    </row>
    <row r="45">
      <c r="A45" s="134"/>
      <c r="B45" s="547"/>
      <c r="C45" s="71"/>
      <c r="D45" s="71"/>
      <c r="E45" s="71"/>
      <c r="F45" s="71"/>
      <c r="G45" s="130"/>
      <c r="H45" s="130"/>
      <c r="I45" s="73"/>
      <c r="J45" s="71"/>
      <c r="K45" s="71"/>
      <c r="L45" s="71"/>
    </row>
    <row r="46">
      <c r="A46" s="134"/>
      <c r="B46" s="547"/>
      <c r="C46" s="71"/>
      <c r="D46" s="71"/>
      <c r="E46" s="71"/>
      <c r="F46" s="71"/>
      <c r="G46" s="130"/>
      <c r="H46" s="130"/>
      <c r="I46" s="73"/>
      <c r="J46" s="71"/>
      <c r="K46" s="71"/>
      <c r="L46" s="71"/>
    </row>
    <row r="47">
      <c r="A47" s="134"/>
      <c r="B47" s="547"/>
      <c r="C47" s="71"/>
      <c r="D47" s="71"/>
      <c r="E47" s="71"/>
      <c r="F47" s="71"/>
      <c r="G47" s="130"/>
      <c r="H47" s="130"/>
      <c r="I47" s="73"/>
      <c r="J47" s="71"/>
      <c r="K47" s="71"/>
      <c r="L47" s="71"/>
    </row>
    <row r="48">
      <c r="A48" s="134"/>
      <c r="B48" s="547"/>
      <c r="C48" s="71"/>
      <c r="D48" s="71"/>
      <c r="E48" s="71"/>
      <c r="F48" s="71"/>
      <c r="G48" s="130"/>
      <c r="H48" s="130"/>
      <c r="I48" s="73"/>
      <c r="J48" s="71"/>
      <c r="K48" s="71"/>
      <c r="L48" s="71"/>
    </row>
    <row r="49">
      <c r="A49" s="134"/>
      <c r="B49" s="547"/>
      <c r="C49" s="71"/>
      <c r="D49" s="71"/>
      <c r="E49" s="71"/>
      <c r="F49" s="71"/>
      <c r="G49" s="130"/>
      <c r="H49" s="130"/>
      <c r="I49" s="73"/>
      <c r="J49" s="71"/>
      <c r="K49" s="71"/>
      <c r="L49" s="71"/>
    </row>
    <row r="50">
      <c r="A50" s="134"/>
      <c r="B50" s="547"/>
      <c r="C50" s="71"/>
      <c r="D50" s="71"/>
      <c r="E50" s="71"/>
      <c r="F50" s="71"/>
      <c r="G50" s="130"/>
      <c r="H50" s="130"/>
      <c r="I50" s="73"/>
      <c r="J50" s="71"/>
      <c r="K50" s="71"/>
      <c r="L50" s="71"/>
    </row>
    <row r="51">
      <c r="A51" s="134"/>
      <c r="B51" s="547"/>
      <c r="C51" s="71"/>
      <c r="D51" s="71"/>
      <c r="E51" s="71"/>
      <c r="F51" s="71"/>
      <c r="G51" s="130"/>
      <c r="H51" s="130"/>
      <c r="I51" s="73"/>
      <c r="J51" s="71"/>
      <c r="K51" s="71"/>
      <c r="L51" s="71"/>
    </row>
    <row r="52">
      <c r="A52" s="134"/>
      <c r="B52" s="547"/>
      <c r="C52" s="71"/>
      <c r="D52" s="71"/>
      <c r="E52" s="71"/>
      <c r="F52" s="71"/>
      <c r="G52" s="130"/>
      <c r="H52" s="130"/>
      <c r="I52" s="73"/>
      <c r="J52" s="71"/>
      <c r="K52" s="71"/>
      <c r="L52" s="71"/>
    </row>
    <row r="53">
      <c r="A53" s="134"/>
      <c r="B53" s="547"/>
      <c r="C53" s="71"/>
      <c r="D53" s="71"/>
      <c r="E53" s="71"/>
      <c r="F53" s="71"/>
      <c r="G53" s="130"/>
      <c r="H53" s="130"/>
      <c r="I53" s="73"/>
      <c r="J53" s="71"/>
      <c r="K53" s="71"/>
      <c r="L53" s="71"/>
    </row>
    <row r="54">
      <c r="A54" s="134"/>
      <c r="B54" s="547"/>
      <c r="C54" s="71"/>
      <c r="D54" s="71"/>
      <c r="E54" s="71"/>
      <c r="F54" s="71"/>
      <c r="G54" s="130"/>
      <c r="H54" s="130"/>
      <c r="I54" s="73"/>
      <c r="J54" s="71"/>
      <c r="K54" s="71"/>
      <c r="L54" s="71"/>
    </row>
    <row r="55">
      <c r="A55" s="134"/>
      <c r="B55" s="547"/>
      <c r="C55" s="71"/>
      <c r="D55" s="71"/>
      <c r="E55" s="71"/>
      <c r="F55" s="71"/>
      <c r="G55" s="130"/>
      <c r="H55" s="130"/>
      <c r="I55" s="73"/>
      <c r="J55" s="71"/>
      <c r="K55" s="71"/>
      <c r="L55" s="71"/>
    </row>
    <row r="56">
      <c r="A56" s="134"/>
      <c r="B56" s="547"/>
      <c r="C56" s="71"/>
      <c r="D56" s="71"/>
      <c r="E56" s="71"/>
      <c r="F56" s="71"/>
      <c r="G56" s="130"/>
      <c r="H56" s="130"/>
      <c r="I56" s="73"/>
      <c r="J56" s="71"/>
      <c r="K56" s="71"/>
      <c r="L56" s="71"/>
    </row>
    <row r="57">
      <c r="A57" s="134"/>
      <c r="B57" s="547"/>
      <c r="C57" s="71"/>
      <c r="D57" s="71"/>
      <c r="E57" s="71"/>
      <c r="F57" s="71"/>
      <c r="G57" s="130"/>
      <c r="H57" s="130"/>
      <c r="I57" s="73"/>
      <c r="J57" s="71"/>
      <c r="K57" s="71"/>
      <c r="L57" s="71"/>
    </row>
    <row r="58">
      <c r="A58" s="134"/>
      <c r="B58" s="547"/>
      <c r="C58" s="71"/>
      <c r="D58" s="71"/>
      <c r="E58" s="71"/>
      <c r="F58" s="71"/>
      <c r="G58" s="130"/>
      <c r="H58" s="130"/>
      <c r="I58" s="73"/>
      <c r="J58" s="71"/>
      <c r="K58" s="71"/>
      <c r="L58" s="71"/>
    </row>
    <row r="59">
      <c r="A59" s="134"/>
      <c r="B59" s="547"/>
      <c r="C59" s="71"/>
      <c r="D59" s="71"/>
      <c r="E59" s="71"/>
      <c r="F59" s="71"/>
      <c r="G59" s="130"/>
      <c r="H59" s="130"/>
      <c r="I59" s="73"/>
      <c r="J59" s="71"/>
      <c r="K59" s="71"/>
      <c r="L59" s="71"/>
    </row>
    <row r="60">
      <c r="A60" s="134"/>
      <c r="B60" s="547"/>
      <c r="C60" s="71"/>
      <c r="D60" s="71"/>
      <c r="E60" s="71"/>
      <c r="F60" s="71"/>
      <c r="G60" s="130"/>
      <c r="H60" s="130"/>
      <c r="I60" s="73"/>
      <c r="J60" s="71"/>
      <c r="K60" s="71"/>
      <c r="L60" s="71"/>
    </row>
    <row r="61">
      <c r="A61" s="134"/>
      <c r="B61" s="547"/>
      <c r="C61" s="71"/>
      <c r="D61" s="71"/>
      <c r="E61" s="71"/>
      <c r="F61" s="71"/>
      <c r="G61" s="130"/>
      <c r="H61" s="130"/>
      <c r="I61" s="73"/>
      <c r="J61" s="71"/>
      <c r="K61" s="71"/>
      <c r="L61" s="71"/>
    </row>
    <row r="62">
      <c r="A62" s="134"/>
      <c r="B62" s="547"/>
      <c r="C62" s="71"/>
      <c r="D62" s="71"/>
      <c r="E62" s="71"/>
      <c r="F62" s="71"/>
      <c r="G62" s="130"/>
      <c r="H62" s="130"/>
      <c r="I62" s="73"/>
      <c r="J62" s="71"/>
      <c r="K62" s="71"/>
      <c r="L62" s="71"/>
    </row>
    <row r="63">
      <c r="A63" s="134"/>
      <c r="B63" s="547"/>
      <c r="C63" s="71"/>
      <c r="D63" s="71"/>
      <c r="E63" s="71"/>
      <c r="F63" s="71"/>
      <c r="G63" s="130"/>
      <c r="H63" s="130"/>
      <c r="I63" s="73"/>
      <c r="J63" s="71"/>
      <c r="K63" s="71"/>
      <c r="L63" s="71"/>
    </row>
    <row r="64">
      <c r="A64" s="134"/>
      <c r="B64" s="547"/>
      <c r="C64" s="71"/>
      <c r="D64" s="71"/>
      <c r="E64" s="71"/>
      <c r="F64" s="71"/>
      <c r="G64" s="130"/>
      <c r="H64" s="130"/>
      <c r="I64" s="73"/>
      <c r="J64" s="71"/>
      <c r="K64" s="71"/>
      <c r="L64" s="71"/>
    </row>
    <row r="65">
      <c r="A65" s="134"/>
      <c r="B65" s="547"/>
      <c r="C65" s="71"/>
      <c r="D65" s="71"/>
      <c r="E65" s="71"/>
      <c r="F65" s="71"/>
      <c r="G65" s="130"/>
      <c r="H65" s="130"/>
      <c r="I65" s="73"/>
      <c r="J65" s="71"/>
      <c r="K65" s="71"/>
      <c r="L65" s="71"/>
    </row>
    <row r="66">
      <c r="A66" s="134"/>
      <c r="B66" s="547"/>
      <c r="C66" s="71"/>
      <c r="D66" s="71"/>
      <c r="E66" s="71"/>
      <c r="F66" s="71"/>
      <c r="G66" s="130"/>
      <c r="H66" s="130"/>
      <c r="I66" s="73"/>
      <c r="J66" s="71"/>
      <c r="K66" s="71"/>
      <c r="L66" s="71"/>
    </row>
    <row r="67">
      <c r="A67" s="134"/>
      <c r="B67" s="547"/>
      <c r="C67" s="71"/>
      <c r="D67" s="71"/>
      <c r="E67" s="71"/>
      <c r="F67" s="71"/>
      <c r="G67" s="130"/>
      <c r="H67" s="130"/>
      <c r="I67" s="73"/>
      <c r="J67" s="71"/>
      <c r="K67" s="71"/>
      <c r="L67" s="71"/>
    </row>
    <row r="68">
      <c r="A68" s="134"/>
      <c r="B68" s="547"/>
      <c r="C68" s="71"/>
      <c r="D68" s="71"/>
      <c r="E68" s="71"/>
      <c r="F68" s="71"/>
      <c r="G68" s="130"/>
      <c r="H68" s="130"/>
      <c r="I68" s="73"/>
      <c r="J68" s="71"/>
      <c r="K68" s="71"/>
      <c r="L68" s="71"/>
    </row>
    <row r="69">
      <c r="A69" s="134"/>
      <c r="B69" s="547"/>
      <c r="C69" s="71"/>
      <c r="D69" s="71"/>
      <c r="E69" s="71"/>
      <c r="F69" s="71"/>
      <c r="G69" s="130"/>
      <c r="H69" s="130"/>
      <c r="I69" s="71"/>
      <c r="J69" s="71"/>
      <c r="K69" s="71"/>
      <c r="L69" s="71"/>
    </row>
    <row r="70">
      <c r="A70" s="134"/>
      <c r="B70" s="547"/>
      <c r="C70" s="71"/>
      <c r="D70" s="71"/>
      <c r="E70" s="71"/>
      <c r="F70" s="71"/>
      <c r="G70" s="130"/>
      <c r="H70" s="130"/>
      <c r="I70" s="71"/>
      <c r="J70" s="71"/>
      <c r="K70" s="71"/>
      <c r="L70" s="71"/>
    </row>
    <row r="71">
      <c r="A71" s="134"/>
      <c r="B71" s="547"/>
      <c r="C71" s="71"/>
      <c r="D71" s="71"/>
      <c r="E71" s="71"/>
      <c r="F71" s="71"/>
      <c r="G71" s="130"/>
      <c r="H71" s="130"/>
      <c r="I71" s="71"/>
      <c r="J71" s="71"/>
      <c r="K71" s="71"/>
      <c r="L71" s="71"/>
    </row>
    <row r="72">
      <c r="A72" s="134"/>
      <c r="B72" s="547"/>
      <c r="C72" s="71"/>
      <c r="D72" s="71"/>
      <c r="E72" s="71"/>
      <c r="F72" s="71"/>
      <c r="G72" s="130"/>
      <c r="H72" s="130"/>
      <c r="I72" s="71"/>
      <c r="J72" s="71"/>
      <c r="K72" s="71"/>
      <c r="L72" s="71"/>
    </row>
    <row r="73">
      <c r="A73" s="134"/>
      <c r="B73" s="547"/>
      <c r="C73" s="71"/>
      <c r="D73" s="71"/>
      <c r="E73" s="71"/>
      <c r="F73" s="71"/>
      <c r="G73" s="130"/>
      <c r="H73" s="130"/>
      <c r="I73" s="71"/>
      <c r="J73" s="71"/>
      <c r="K73" s="71"/>
      <c r="L73" s="71"/>
    </row>
    <row r="74">
      <c r="A74" s="134"/>
      <c r="B74" s="547"/>
      <c r="C74" s="71"/>
      <c r="D74" s="71"/>
      <c r="E74" s="71"/>
      <c r="F74" s="71"/>
      <c r="G74" s="130"/>
      <c r="H74" s="130"/>
      <c r="I74" s="71"/>
      <c r="J74" s="71"/>
      <c r="K74" s="71"/>
      <c r="L74" s="71"/>
    </row>
    <row r="75">
      <c r="A75" s="134"/>
      <c r="B75" s="547"/>
      <c r="C75" s="71"/>
      <c r="D75" s="71"/>
      <c r="E75" s="71"/>
      <c r="F75" s="71"/>
      <c r="G75" s="130"/>
      <c r="H75" s="130"/>
      <c r="I75" s="71"/>
      <c r="J75" s="71"/>
      <c r="K75" s="71"/>
      <c r="L75" s="71"/>
    </row>
    <row r="76">
      <c r="A76" s="134"/>
      <c r="B76" s="547"/>
      <c r="C76" s="71"/>
      <c r="D76" s="71"/>
      <c r="E76" s="71"/>
      <c r="F76" s="71"/>
      <c r="G76" s="130"/>
      <c r="H76" s="130"/>
      <c r="I76" s="71"/>
      <c r="J76" s="71"/>
      <c r="K76" s="71"/>
      <c r="L76" s="71"/>
    </row>
    <row r="77">
      <c r="A77" s="134"/>
      <c r="B77" s="547"/>
      <c r="C77" s="71"/>
      <c r="D77" s="71"/>
      <c r="E77" s="71"/>
      <c r="F77" s="71"/>
      <c r="G77" s="130"/>
      <c r="H77" s="130"/>
      <c r="I77" s="71"/>
      <c r="J77" s="71"/>
      <c r="K77" s="71"/>
      <c r="L77" s="71"/>
    </row>
    <row r="78">
      <c r="A78" s="134"/>
      <c r="B78" s="547"/>
      <c r="C78" s="71"/>
      <c r="D78" s="71"/>
      <c r="E78" s="71"/>
      <c r="F78" s="71"/>
      <c r="G78" s="130"/>
      <c r="H78" s="130"/>
      <c r="I78" s="71"/>
      <c r="J78" s="71"/>
      <c r="K78" s="71"/>
      <c r="L78" s="71"/>
    </row>
    <row r="79">
      <c r="A79" s="134"/>
      <c r="B79" s="547"/>
      <c r="C79" s="71"/>
      <c r="D79" s="71"/>
      <c r="E79" s="71"/>
      <c r="F79" s="71"/>
      <c r="G79" s="130"/>
      <c r="H79" s="130"/>
      <c r="I79" s="71"/>
      <c r="J79" s="71"/>
      <c r="K79" s="71"/>
      <c r="L79" s="71"/>
    </row>
    <row r="80">
      <c r="A80" s="134"/>
      <c r="B80" s="547"/>
      <c r="C80" s="71"/>
      <c r="D80" s="71"/>
      <c r="E80" s="71"/>
      <c r="F80" s="71"/>
      <c r="G80" s="130"/>
      <c r="H80" s="130"/>
      <c r="I80" s="71"/>
      <c r="J80" s="71"/>
      <c r="K80" s="71"/>
      <c r="L80" s="71"/>
    </row>
    <row r="81">
      <c r="A81" s="134"/>
      <c r="B81" s="547"/>
      <c r="C81" s="71"/>
      <c r="D81" s="71"/>
      <c r="E81" s="71"/>
      <c r="F81" s="71"/>
      <c r="G81" s="130"/>
      <c r="H81" s="130"/>
      <c r="I81" s="71"/>
      <c r="J81" s="71"/>
      <c r="K81" s="71"/>
      <c r="L81" s="71"/>
    </row>
    <row r="82">
      <c r="A82" s="134"/>
      <c r="B82" s="547"/>
      <c r="C82" s="71"/>
      <c r="D82" s="71"/>
      <c r="E82" s="71"/>
      <c r="F82" s="71"/>
      <c r="G82" s="130"/>
      <c r="H82" s="130"/>
      <c r="I82" s="71"/>
      <c r="J82" s="71"/>
      <c r="K82" s="71"/>
      <c r="L82" s="71"/>
    </row>
    <row r="83">
      <c r="A83" s="134"/>
      <c r="B83" s="547"/>
      <c r="C83" s="71"/>
      <c r="D83" s="71"/>
      <c r="E83" s="71"/>
      <c r="F83" s="71"/>
      <c r="G83" s="130"/>
      <c r="H83" s="130"/>
      <c r="I83" s="71"/>
      <c r="J83" s="71"/>
      <c r="K83" s="71"/>
      <c r="L83" s="71"/>
    </row>
    <row r="84">
      <c r="A84" s="134"/>
      <c r="B84" s="547"/>
      <c r="C84" s="71"/>
      <c r="D84" s="71"/>
      <c r="E84" s="71"/>
      <c r="F84" s="71"/>
      <c r="G84" s="130"/>
      <c r="H84" s="130"/>
      <c r="I84" s="71"/>
      <c r="J84" s="71"/>
      <c r="K84" s="71"/>
      <c r="L84" s="71"/>
    </row>
    <row r="85">
      <c r="A85" s="134"/>
      <c r="B85" s="547"/>
      <c r="C85" s="71"/>
      <c r="D85" s="71"/>
      <c r="E85" s="71"/>
      <c r="F85" s="71"/>
      <c r="G85" s="130"/>
      <c r="H85" s="130"/>
      <c r="I85" s="71"/>
      <c r="J85" s="71"/>
      <c r="K85" s="71"/>
      <c r="L85" s="71"/>
    </row>
    <row r="86">
      <c r="A86" s="134"/>
      <c r="B86" s="547"/>
      <c r="C86" s="71"/>
      <c r="D86" s="71"/>
      <c r="E86" s="71"/>
      <c r="F86" s="71"/>
      <c r="G86" s="130"/>
      <c r="H86" s="130"/>
      <c r="I86" s="71"/>
      <c r="J86" s="71"/>
      <c r="K86" s="71"/>
      <c r="L86" s="71"/>
    </row>
    <row r="87">
      <c r="A87" s="134"/>
      <c r="B87" s="547"/>
      <c r="C87" s="71"/>
      <c r="D87" s="71"/>
      <c r="E87" s="71"/>
      <c r="F87" s="71"/>
      <c r="G87" s="130"/>
      <c r="H87" s="130"/>
      <c r="I87" s="71"/>
      <c r="J87" s="71"/>
      <c r="K87" s="71"/>
      <c r="L87" s="71"/>
    </row>
    <row r="88">
      <c r="A88" s="134"/>
      <c r="B88" s="547"/>
      <c r="C88" s="71"/>
      <c r="D88" s="71"/>
      <c r="E88" s="71"/>
      <c r="F88" s="71"/>
      <c r="G88" s="130"/>
      <c r="H88" s="130"/>
      <c r="I88" s="71"/>
      <c r="J88" s="71"/>
      <c r="K88" s="71"/>
      <c r="L88" s="71"/>
    </row>
    <row r="89">
      <c r="A89" s="134"/>
      <c r="B89" s="547"/>
      <c r="C89" s="71"/>
      <c r="D89" s="71"/>
      <c r="E89" s="71"/>
      <c r="F89" s="71"/>
      <c r="G89" s="130"/>
      <c r="H89" s="130"/>
      <c r="I89" s="71"/>
      <c r="J89" s="71"/>
      <c r="K89" s="71"/>
      <c r="L89" s="71"/>
    </row>
    <row r="90">
      <c r="A90" s="134"/>
      <c r="B90" s="547"/>
      <c r="C90" s="71"/>
      <c r="D90" s="71"/>
      <c r="E90" s="71"/>
      <c r="F90" s="71"/>
      <c r="G90" s="130"/>
      <c r="H90" s="130"/>
      <c r="I90" s="71"/>
      <c r="J90" s="71"/>
      <c r="K90" s="71"/>
      <c r="L90" s="71"/>
    </row>
    <row r="91">
      <c r="A91" s="134"/>
      <c r="B91" s="547"/>
      <c r="C91" s="71"/>
      <c r="D91" s="71"/>
      <c r="E91" s="71"/>
      <c r="F91" s="71"/>
      <c r="G91" s="130"/>
      <c r="H91" s="130"/>
      <c r="I91" s="71"/>
      <c r="J91" s="71"/>
      <c r="K91" s="71"/>
      <c r="L91" s="71"/>
    </row>
    <row r="92">
      <c r="A92" s="134"/>
      <c r="B92" s="547"/>
      <c r="C92" s="71"/>
      <c r="D92" s="71"/>
      <c r="E92" s="71"/>
      <c r="F92" s="71"/>
      <c r="G92" s="130"/>
      <c r="H92" s="130"/>
      <c r="I92" s="71"/>
      <c r="J92" s="71"/>
      <c r="K92" s="71"/>
      <c r="L92" s="71"/>
    </row>
    <row r="93">
      <c r="A93" s="134"/>
      <c r="B93" s="547"/>
      <c r="C93" s="71"/>
      <c r="D93" s="71"/>
      <c r="E93" s="71"/>
      <c r="F93" s="71"/>
      <c r="G93" s="130"/>
      <c r="H93" s="130"/>
      <c r="I93" s="71"/>
      <c r="J93" s="71"/>
      <c r="K93" s="71"/>
      <c r="L93" s="71"/>
    </row>
    <row r="94">
      <c r="A94" s="134"/>
      <c r="B94" s="547"/>
      <c r="C94" s="71"/>
      <c r="D94" s="71"/>
      <c r="E94" s="71"/>
      <c r="F94" s="71"/>
      <c r="G94" s="130"/>
      <c r="H94" s="130"/>
      <c r="I94" s="71"/>
      <c r="J94" s="71"/>
      <c r="K94" s="71"/>
      <c r="L94" s="71"/>
    </row>
    <row r="95">
      <c r="A95" s="134"/>
      <c r="B95" s="547"/>
      <c r="C95" s="71"/>
      <c r="D95" s="71"/>
      <c r="E95" s="71"/>
      <c r="F95" s="71"/>
      <c r="G95" s="130"/>
      <c r="H95" s="130"/>
      <c r="I95" s="71"/>
      <c r="J95" s="71"/>
      <c r="K95" s="71"/>
      <c r="L95" s="71"/>
    </row>
    <row r="96">
      <c r="A96" s="134"/>
      <c r="B96" s="547"/>
      <c r="C96" s="71"/>
      <c r="D96" s="71"/>
      <c r="E96" s="71"/>
      <c r="F96" s="71"/>
      <c r="G96" s="130"/>
      <c r="H96" s="130"/>
      <c r="I96" s="71"/>
      <c r="J96" s="71"/>
      <c r="K96" s="71"/>
      <c r="L96" s="71"/>
    </row>
    <row r="97">
      <c r="A97" s="134"/>
      <c r="B97" s="547"/>
      <c r="C97" s="71"/>
      <c r="D97" s="71"/>
      <c r="E97" s="71"/>
      <c r="F97" s="71"/>
      <c r="G97" s="130"/>
      <c r="H97" s="130"/>
      <c r="I97" s="71"/>
      <c r="J97" s="71"/>
      <c r="K97" s="71"/>
      <c r="L97" s="71"/>
    </row>
    <row r="98">
      <c r="A98" s="134"/>
      <c r="B98" s="547"/>
      <c r="C98" s="71"/>
      <c r="D98" s="71"/>
      <c r="E98" s="71"/>
      <c r="F98" s="71"/>
      <c r="G98" s="130"/>
      <c r="H98" s="130"/>
      <c r="I98" s="71"/>
      <c r="J98" s="71"/>
      <c r="K98" s="71"/>
      <c r="L98" s="71"/>
    </row>
    <row r="99">
      <c r="A99" s="134"/>
      <c r="B99" s="547"/>
      <c r="C99" s="71"/>
      <c r="D99" s="71"/>
      <c r="E99" s="71"/>
      <c r="F99" s="71"/>
      <c r="G99" s="130"/>
      <c r="H99" s="130"/>
      <c r="I99" s="71"/>
      <c r="J99" s="71"/>
      <c r="K99" s="71"/>
      <c r="L99" s="71"/>
    </row>
    <row r="100">
      <c r="A100" s="134"/>
      <c r="B100" s="547"/>
      <c r="C100" s="71"/>
      <c r="D100" s="71"/>
      <c r="E100" s="71"/>
      <c r="F100" s="71"/>
      <c r="G100" s="130"/>
      <c r="H100" s="130"/>
      <c r="I100" s="71"/>
      <c r="J100" s="71"/>
      <c r="K100" s="71"/>
      <c r="L100" s="71"/>
    </row>
    <row r="101">
      <c r="A101" s="134"/>
      <c r="B101" s="547"/>
      <c r="C101" s="71"/>
      <c r="D101" s="71"/>
      <c r="E101" s="71"/>
      <c r="F101" s="71"/>
      <c r="G101" s="130"/>
      <c r="H101" s="130"/>
      <c r="I101" s="71"/>
      <c r="J101" s="71"/>
      <c r="K101" s="71"/>
      <c r="L101" s="71"/>
    </row>
    <row r="102">
      <c r="A102" s="134"/>
      <c r="B102" s="547"/>
      <c r="C102" s="71"/>
      <c r="D102" s="71"/>
      <c r="E102" s="71"/>
      <c r="F102" s="71"/>
      <c r="G102" s="130"/>
      <c r="H102" s="130"/>
      <c r="I102" s="71"/>
      <c r="J102" s="71"/>
      <c r="K102" s="71"/>
      <c r="L102" s="71"/>
    </row>
    <row r="103">
      <c r="A103" s="134"/>
      <c r="B103" s="547"/>
      <c r="C103" s="71"/>
      <c r="D103" s="71"/>
      <c r="E103" s="71"/>
      <c r="F103" s="71"/>
      <c r="G103" s="130"/>
      <c r="H103" s="130"/>
      <c r="I103" s="71"/>
      <c r="J103" s="71"/>
      <c r="K103" s="71"/>
      <c r="L103" s="71"/>
    </row>
    <row r="104">
      <c r="A104" s="134"/>
      <c r="B104" s="547"/>
      <c r="C104" s="71"/>
      <c r="D104" s="71"/>
      <c r="E104" s="71"/>
      <c r="F104" s="71"/>
      <c r="G104" s="130"/>
      <c r="H104" s="130"/>
      <c r="I104" s="71"/>
      <c r="J104" s="71"/>
      <c r="K104" s="71"/>
      <c r="L104" s="71"/>
    </row>
    <row r="105">
      <c r="A105" s="134"/>
      <c r="B105" s="547"/>
      <c r="C105" s="71"/>
      <c r="D105" s="71"/>
      <c r="E105" s="71"/>
      <c r="F105" s="71"/>
      <c r="G105" s="130"/>
      <c r="H105" s="130"/>
      <c r="I105" s="71"/>
      <c r="J105" s="71"/>
      <c r="K105" s="71"/>
      <c r="L105" s="71"/>
    </row>
    <row r="106">
      <c r="A106" s="134"/>
      <c r="B106" s="547"/>
      <c r="C106" s="71"/>
      <c r="D106" s="71"/>
      <c r="E106" s="71"/>
      <c r="F106" s="71"/>
      <c r="G106" s="130"/>
      <c r="H106" s="130"/>
      <c r="I106" s="71"/>
      <c r="J106" s="71"/>
      <c r="K106" s="71"/>
      <c r="L106" s="71"/>
    </row>
    <row r="107">
      <c r="A107" s="134"/>
      <c r="B107" s="547"/>
      <c r="C107" s="71"/>
      <c r="D107" s="71"/>
      <c r="E107" s="71"/>
      <c r="F107" s="71"/>
      <c r="G107" s="130"/>
      <c r="H107" s="130"/>
      <c r="I107" s="71"/>
      <c r="J107" s="71"/>
      <c r="K107" s="71"/>
      <c r="L107" s="71"/>
    </row>
    <row r="108">
      <c r="A108" s="134"/>
      <c r="B108" s="547"/>
      <c r="C108" s="71"/>
      <c r="D108" s="71"/>
      <c r="E108" s="71"/>
      <c r="F108" s="71"/>
      <c r="G108" s="130"/>
      <c r="H108" s="130"/>
      <c r="I108" s="71"/>
      <c r="J108" s="71"/>
      <c r="K108" s="71"/>
      <c r="L108" s="71"/>
    </row>
    <row r="109">
      <c r="A109" s="134"/>
      <c r="B109" s="547"/>
      <c r="C109" s="71"/>
      <c r="D109" s="71"/>
      <c r="E109" s="71"/>
      <c r="F109" s="71"/>
      <c r="G109" s="130"/>
      <c r="H109" s="130"/>
      <c r="I109" s="71"/>
      <c r="J109" s="71"/>
      <c r="K109" s="71"/>
      <c r="L109" s="71"/>
    </row>
    <row r="110">
      <c r="A110" s="134"/>
      <c r="B110" s="547"/>
      <c r="C110" s="71"/>
      <c r="D110" s="71"/>
      <c r="E110" s="71"/>
      <c r="F110" s="71"/>
      <c r="G110" s="130"/>
      <c r="H110" s="130"/>
      <c r="I110" s="71"/>
      <c r="J110" s="71"/>
      <c r="K110" s="71"/>
      <c r="L110" s="71"/>
    </row>
    <row r="111">
      <c r="A111" s="134"/>
      <c r="B111" s="547"/>
      <c r="C111" s="71"/>
      <c r="D111" s="71"/>
      <c r="E111" s="71"/>
      <c r="F111" s="71"/>
      <c r="G111" s="130"/>
      <c r="H111" s="130"/>
      <c r="I111" s="71"/>
      <c r="J111" s="71"/>
      <c r="K111" s="71"/>
      <c r="L111" s="71"/>
    </row>
    <row r="112">
      <c r="A112" s="134"/>
      <c r="B112" s="547"/>
      <c r="C112" s="71"/>
      <c r="D112" s="71"/>
      <c r="E112" s="71"/>
      <c r="F112" s="71"/>
      <c r="G112" s="130"/>
      <c r="H112" s="130"/>
      <c r="I112" s="71"/>
      <c r="J112" s="71"/>
      <c r="K112" s="71"/>
      <c r="L112" s="71"/>
    </row>
    <row r="113">
      <c r="A113" s="134"/>
      <c r="B113" s="547"/>
      <c r="C113" s="71"/>
      <c r="D113" s="71"/>
      <c r="E113" s="71"/>
      <c r="F113" s="71"/>
      <c r="G113" s="130"/>
      <c r="H113" s="130"/>
      <c r="I113" s="71"/>
      <c r="J113" s="71"/>
      <c r="K113" s="71"/>
      <c r="L113" s="71"/>
    </row>
    <row r="114">
      <c r="A114" s="134"/>
      <c r="B114" s="547"/>
      <c r="C114" s="71"/>
      <c r="D114" s="71"/>
      <c r="E114" s="71"/>
      <c r="F114" s="71"/>
      <c r="G114" s="130"/>
      <c r="H114" s="130"/>
      <c r="I114" s="71"/>
      <c r="J114" s="71"/>
      <c r="K114" s="71"/>
      <c r="L114" s="71"/>
    </row>
    <row r="115">
      <c r="A115" s="134"/>
      <c r="B115" s="547"/>
      <c r="C115" s="71"/>
      <c r="D115" s="71"/>
      <c r="E115" s="71"/>
      <c r="F115" s="71"/>
      <c r="G115" s="130"/>
      <c r="H115" s="130"/>
      <c r="I115" s="71"/>
      <c r="J115" s="71"/>
      <c r="K115" s="71"/>
      <c r="L115" s="71"/>
    </row>
    <row r="116">
      <c r="A116" s="134"/>
      <c r="B116" s="547"/>
      <c r="C116" s="71"/>
      <c r="D116" s="71"/>
      <c r="E116" s="71"/>
      <c r="F116" s="71"/>
      <c r="G116" s="130"/>
      <c r="H116" s="130"/>
      <c r="I116" s="71"/>
      <c r="J116" s="71"/>
      <c r="K116" s="71"/>
      <c r="L116" s="71"/>
    </row>
    <row r="117">
      <c r="A117" s="134"/>
      <c r="B117" s="547"/>
      <c r="C117" s="71"/>
      <c r="D117" s="71"/>
      <c r="E117" s="71"/>
      <c r="F117" s="71"/>
      <c r="G117" s="130"/>
      <c r="H117" s="130"/>
      <c r="I117" s="71"/>
      <c r="J117" s="71"/>
      <c r="K117" s="71"/>
      <c r="L117" s="71"/>
    </row>
    <row r="118">
      <c r="A118" s="134"/>
      <c r="B118" s="547"/>
      <c r="C118" s="71"/>
      <c r="D118" s="71"/>
      <c r="E118" s="71"/>
      <c r="F118" s="71"/>
      <c r="G118" s="130"/>
      <c r="H118" s="130"/>
      <c r="I118" s="71"/>
      <c r="J118" s="71"/>
      <c r="K118" s="71"/>
      <c r="L118" s="71"/>
    </row>
  </sheetData>
  <hyperlinks>
    <hyperlink r:id="rId2" ref="I2"/>
    <hyperlink r:id="rId3" ref="I3"/>
    <hyperlink r:id="rId4" ref="I4"/>
    <hyperlink r:id="rId5" ref="I5"/>
    <hyperlink r:id="rId6" ref="I6"/>
    <hyperlink r:id="rId7" ref="I7"/>
    <hyperlink r:id="rId8" ref="I8"/>
    <hyperlink r:id="rId9" ref="I9"/>
    <hyperlink r:id="rId10" ref="I10"/>
    <hyperlink r:id="rId11" ref="I11"/>
    <hyperlink r:id="rId12" ref="I12"/>
    <hyperlink r:id="rId13" ref="I13"/>
    <hyperlink r:id="rId14" ref="I14"/>
    <hyperlink r:id="rId15" ref="I15"/>
    <hyperlink r:id="rId16" ref="I16"/>
    <hyperlink r:id="rId17" ref="I17"/>
    <hyperlink r:id="rId18" ref="I18"/>
    <hyperlink r:id="rId19" ref="I19"/>
    <hyperlink r:id="rId20" ref="I20"/>
    <hyperlink r:id="rId21" ref="I21"/>
    <hyperlink r:id="rId22" ref="I22"/>
    <hyperlink r:id="rId23" ref="I23"/>
    <hyperlink r:id="rId24" ref="I24"/>
    <hyperlink r:id="rId25" ref="I25"/>
    <hyperlink r:id="rId26" ref="I26"/>
    <hyperlink r:id="rId27" ref="I27"/>
    <hyperlink r:id="rId28" ref="I28"/>
    <hyperlink r:id="rId29" ref="I29"/>
    <hyperlink r:id="rId30" ref="I30"/>
    <hyperlink r:id="rId31" ref="I31"/>
    <hyperlink r:id="rId32" ref="I32"/>
    <hyperlink r:id="rId33" ref="I33"/>
    <hyperlink r:id="rId34" ref="I34"/>
    <hyperlink r:id="rId35" ref="I35"/>
    <hyperlink r:id="rId36" ref="I36"/>
  </hyperlinks>
  <drawing r:id="rId37"/>
  <legacyDrawing r:id="rId38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17.57"/>
    <col customWidth="1" min="2" max="2" width="10.0"/>
    <col customWidth="1" min="3" max="3" width="7.86"/>
    <col customWidth="1" min="4" max="4" width="7.71"/>
    <col customWidth="1" min="5" max="5" width="6.57"/>
    <col customWidth="1" min="6" max="6" width="7.71"/>
    <col customWidth="1" min="7" max="7" width="7.57"/>
    <col customWidth="1" min="8" max="8" width="8.71"/>
    <col customWidth="1" min="9" max="9" width="6.71"/>
    <col customWidth="1" min="10" max="10" width="7.71"/>
    <col customWidth="1" min="11" max="11" width="5.57"/>
    <col customWidth="1" min="12" max="12" width="6.14"/>
    <col customWidth="1" min="13" max="13" width="7.0"/>
    <col customWidth="1" min="14" max="14" width="6.71"/>
    <col customWidth="1" min="15" max="15" width="7.57"/>
    <col customWidth="1" min="16" max="16" width="9.29"/>
    <col customWidth="1" min="17" max="17" width="8.29"/>
    <col customWidth="1" min="18" max="18" width="6.57"/>
    <col customWidth="1" min="19" max="19" width="7.43"/>
    <col customWidth="1" min="20" max="20" width="7.29"/>
    <col customWidth="1" min="21" max="21" width="5.71"/>
    <col customWidth="1" min="22" max="22" width="5.29"/>
    <col customWidth="1" min="23" max="23" width="6.43"/>
    <col customWidth="1" min="24" max="24" width="6.86"/>
    <col customWidth="1" min="25" max="25" width="6.29"/>
    <col customWidth="1" min="26" max="26" width="6.14"/>
    <col customWidth="1" min="27" max="27" width="8.0"/>
    <col customWidth="1" min="28" max="28" width="4.86"/>
    <col customWidth="1" min="29" max="29" width="6.43"/>
    <col customWidth="1" min="30" max="30" width="5.14"/>
    <col customWidth="1" min="31" max="31" width="8.43"/>
    <col customWidth="1" min="32" max="32" width="7.29"/>
    <col customWidth="1" min="33" max="33" width="7.86"/>
    <col customWidth="1" min="34" max="34" width="6.71"/>
    <col customWidth="1" min="35" max="35" width="5.29"/>
    <col customWidth="1" min="36" max="37" width="7.57"/>
    <col customWidth="1" min="38" max="38" width="7.29"/>
    <col customWidth="1" min="39" max="39" width="6.14"/>
    <col customWidth="1" min="40" max="40" width="7.43"/>
    <col customWidth="1" min="41" max="41" width="6.14"/>
    <col customWidth="1" min="42" max="42" width="5.71"/>
    <col customWidth="1" min="43" max="43" width="7.43"/>
    <col customWidth="1" min="44" max="44" width="7.29"/>
    <col customWidth="1" min="45" max="45" width="4.86"/>
    <col customWidth="1" min="46" max="46" width="6.0"/>
    <col customWidth="1" min="47" max="47" width="5.57"/>
    <col customWidth="1" min="48" max="48" width="9.14"/>
    <col customWidth="1" min="49" max="49" width="5.29"/>
    <col customWidth="1" min="50" max="50" width="6.43"/>
    <col customWidth="1" min="51" max="51" width="14.14"/>
    <col customWidth="1" min="52" max="52" width="6.29"/>
    <col customWidth="1" min="53" max="53" width="7.86"/>
    <col customWidth="1" min="54" max="54" width="6.14"/>
    <col customWidth="1" min="55" max="55" width="12.57"/>
    <col customWidth="1" min="56" max="57" width="8.0"/>
    <col customWidth="1" min="58" max="58" width="6.86"/>
    <col customWidth="1" min="59" max="59" width="8.29"/>
    <col customWidth="1" min="60" max="60" width="6.0"/>
    <col customWidth="1" min="61" max="61" width="6.14"/>
    <col customWidth="1" min="62" max="62" width="6.71"/>
  </cols>
  <sheetData>
    <row r="1">
      <c r="A1" s="548" t="s">
        <v>130</v>
      </c>
      <c r="B1" s="549" t="s">
        <v>131</v>
      </c>
      <c r="C1" s="549" t="s">
        <v>134</v>
      </c>
      <c r="D1" s="549" t="s">
        <v>135</v>
      </c>
      <c r="E1" s="549" t="s">
        <v>136</v>
      </c>
      <c r="F1" s="549" t="s">
        <v>138</v>
      </c>
      <c r="G1" s="549" t="s">
        <v>140</v>
      </c>
      <c r="H1" s="549" t="s">
        <v>141</v>
      </c>
      <c r="I1" s="549" t="s">
        <v>144</v>
      </c>
      <c r="J1" s="549" t="s">
        <v>145</v>
      </c>
      <c r="K1" s="549" t="s">
        <v>146</v>
      </c>
      <c r="L1" s="549" t="s">
        <v>147</v>
      </c>
      <c r="M1" s="549" t="s">
        <v>150</v>
      </c>
      <c r="N1" s="549" t="s">
        <v>151</v>
      </c>
      <c r="O1" s="549" t="s">
        <v>152</v>
      </c>
      <c r="P1" s="549" t="s">
        <v>153</v>
      </c>
      <c r="Q1" s="549" t="s">
        <v>156</v>
      </c>
      <c r="R1" s="549" t="s">
        <v>157</v>
      </c>
      <c r="S1" s="549" t="s">
        <v>158</v>
      </c>
      <c r="T1" s="549" t="s">
        <v>159</v>
      </c>
      <c r="U1" s="549" t="s">
        <v>160</v>
      </c>
      <c r="V1" s="550" t="s">
        <v>161</v>
      </c>
      <c r="W1" s="549" t="s">
        <v>163</v>
      </c>
      <c r="X1" s="549" t="s">
        <v>164</v>
      </c>
      <c r="Y1" s="549" t="s">
        <v>165</v>
      </c>
      <c r="Z1" s="549" t="s">
        <v>168</v>
      </c>
      <c r="AA1" s="549" t="s">
        <v>169</v>
      </c>
      <c r="AB1" s="549" t="s">
        <v>170</v>
      </c>
      <c r="AC1" s="549" t="s">
        <v>171</v>
      </c>
      <c r="AD1" s="549" t="s">
        <v>175</v>
      </c>
      <c r="AE1" s="549" t="s">
        <v>178</v>
      </c>
      <c r="AF1" s="549" t="s">
        <v>180</v>
      </c>
      <c r="AG1" s="549" t="s">
        <v>181</v>
      </c>
      <c r="AH1" s="549" t="s">
        <v>182</v>
      </c>
      <c r="AI1" s="549" t="s">
        <v>183</v>
      </c>
      <c r="AJ1" s="549" t="s">
        <v>185</v>
      </c>
      <c r="AK1" s="549" t="s">
        <v>187</v>
      </c>
      <c r="AL1" s="549" t="s">
        <v>188</v>
      </c>
      <c r="AM1" s="550" t="s">
        <v>189</v>
      </c>
      <c r="AN1" s="549" t="s">
        <v>191</v>
      </c>
      <c r="AO1" s="549" t="s">
        <v>194</v>
      </c>
      <c r="AP1" s="549" t="s">
        <v>195</v>
      </c>
      <c r="AQ1" s="549" t="s">
        <v>200</v>
      </c>
      <c r="AR1" s="549" t="s">
        <v>196</v>
      </c>
      <c r="AS1" s="549" t="s">
        <v>197</v>
      </c>
      <c r="AT1" s="549" t="s">
        <v>198</v>
      </c>
      <c r="AU1" s="549" t="s">
        <v>199</v>
      </c>
      <c r="AV1" s="550" t="s">
        <v>201</v>
      </c>
      <c r="AW1" s="549" t="s">
        <v>203</v>
      </c>
      <c r="AX1" s="549" t="s">
        <v>204</v>
      </c>
      <c r="AY1" s="549" t="s">
        <v>205</v>
      </c>
      <c r="AZ1" s="549" t="s">
        <v>206</v>
      </c>
      <c r="BA1" s="549" t="s">
        <v>207</v>
      </c>
      <c r="BB1" s="549" t="s">
        <v>208</v>
      </c>
      <c r="BC1" s="549" t="s">
        <v>209</v>
      </c>
      <c r="BD1" s="549" t="s">
        <v>210</v>
      </c>
      <c r="BE1" s="549" t="s">
        <v>212</v>
      </c>
      <c r="BF1" s="549" t="s">
        <v>213</v>
      </c>
      <c r="BG1" s="549" t="s">
        <v>215</v>
      </c>
      <c r="BH1" s="550" t="s">
        <v>216</v>
      </c>
      <c r="BI1" s="549" t="s">
        <v>217</v>
      </c>
      <c r="BJ1" s="549" t="s">
        <v>219</v>
      </c>
    </row>
    <row r="2">
      <c r="A2" s="551" t="s">
        <v>456</v>
      </c>
      <c r="B2" s="552"/>
      <c r="C2" s="552"/>
      <c r="D2" s="552"/>
      <c r="E2" s="111"/>
      <c r="F2" s="111"/>
      <c r="G2" s="111"/>
      <c r="H2" s="111"/>
      <c r="I2" s="111"/>
      <c r="J2" s="552"/>
      <c r="K2" s="552"/>
      <c r="L2" s="552"/>
      <c r="M2" s="552"/>
      <c r="N2" s="552"/>
      <c r="O2" s="552"/>
      <c r="P2" s="552"/>
      <c r="Q2" s="552"/>
      <c r="R2" s="552"/>
      <c r="S2" s="552"/>
      <c r="T2" s="552"/>
      <c r="U2" s="552"/>
      <c r="V2" s="553"/>
      <c r="W2" s="552"/>
      <c r="X2" s="552"/>
      <c r="Y2" s="552"/>
      <c r="Z2" s="552"/>
      <c r="AA2" s="552"/>
      <c r="AB2" s="552"/>
      <c r="AC2" s="552"/>
      <c r="AD2" s="552"/>
      <c r="AE2" s="552"/>
      <c r="AF2" s="552"/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2"/>
      <c r="AS2" s="552"/>
      <c r="AT2" s="552"/>
      <c r="AU2" s="552"/>
      <c r="AV2" s="552"/>
      <c r="AW2" s="552"/>
      <c r="AX2" s="552"/>
      <c r="AY2" s="552"/>
      <c r="AZ2" s="552"/>
      <c r="BA2" s="552"/>
      <c r="BB2" s="552"/>
      <c r="BC2" s="552"/>
      <c r="BD2" s="552"/>
      <c r="BE2" s="552"/>
      <c r="BF2" s="552"/>
      <c r="BG2" s="552"/>
      <c r="BH2" s="553"/>
      <c r="BI2" s="552"/>
      <c r="BJ2" s="552"/>
    </row>
    <row r="3">
      <c r="A3" s="554" t="s">
        <v>522</v>
      </c>
      <c r="B3" s="555"/>
      <c r="C3" s="555"/>
      <c r="D3" s="555"/>
      <c r="J3" s="555"/>
      <c r="K3" s="555"/>
      <c r="L3" s="555"/>
      <c r="M3" s="555"/>
      <c r="N3" s="556"/>
      <c r="O3" s="555"/>
      <c r="P3" s="555"/>
      <c r="Q3" s="555"/>
      <c r="R3" s="555"/>
      <c r="S3" s="555"/>
      <c r="T3" s="555"/>
      <c r="U3" s="555"/>
      <c r="V3" s="557"/>
      <c r="W3" s="555"/>
      <c r="X3" s="555"/>
      <c r="Y3" s="555"/>
      <c r="Z3" s="555"/>
      <c r="AA3" s="555"/>
      <c r="AB3" s="555"/>
      <c r="AC3" s="555"/>
      <c r="AD3" s="556"/>
      <c r="AE3" s="555"/>
      <c r="AF3" s="555"/>
      <c r="AG3" s="558"/>
      <c r="AH3" s="556"/>
      <c r="AI3" s="555"/>
      <c r="AJ3" s="555"/>
      <c r="AK3" s="555"/>
      <c r="AL3" s="555"/>
      <c r="AM3" s="556"/>
      <c r="AN3" s="555"/>
      <c r="AO3" s="555"/>
      <c r="AP3" s="555"/>
      <c r="AQ3" s="555"/>
      <c r="AR3" s="555"/>
      <c r="AS3" s="555"/>
      <c r="AT3" s="555"/>
      <c r="AU3" s="556"/>
      <c r="AV3" s="556"/>
      <c r="AW3" s="555"/>
      <c r="AX3" s="555"/>
      <c r="AY3" s="555"/>
      <c r="AZ3" s="555"/>
      <c r="BA3" s="555"/>
      <c r="BB3" s="555"/>
      <c r="BC3" s="556"/>
      <c r="BD3" s="555"/>
      <c r="BE3" s="555"/>
      <c r="BF3" s="555"/>
      <c r="BG3" s="555"/>
      <c r="BH3" s="557"/>
      <c r="BI3" s="555"/>
      <c r="BJ3" s="555"/>
    </row>
    <row r="4">
      <c r="A4" s="554" t="s">
        <v>523</v>
      </c>
      <c r="B4" s="555"/>
      <c r="C4" s="555"/>
      <c r="D4" s="555"/>
      <c r="G4" s="559"/>
      <c r="I4" s="560"/>
      <c r="J4" s="555"/>
      <c r="K4" s="555"/>
      <c r="L4" s="555"/>
      <c r="M4" s="555"/>
      <c r="N4" s="556"/>
      <c r="O4" s="556"/>
      <c r="P4" s="556"/>
      <c r="Q4" s="556"/>
      <c r="R4" s="556"/>
      <c r="S4" s="555"/>
      <c r="T4" s="555"/>
      <c r="U4" s="555"/>
      <c r="V4" s="557"/>
      <c r="W4" s="556"/>
      <c r="X4" s="555"/>
      <c r="Y4" s="555"/>
      <c r="Z4" s="555"/>
      <c r="AA4" s="556"/>
      <c r="AB4" s="555"/>
      <c r="AC4" s="556"/>
      <c r="AD4" s="556"/>
      <c r="AE4" s="556"/>
      <c r="AF4" s="555"/>
      <c r="AG4" s="558"/>
      <c r="AH4" s="556"/>
      <c r="AI4" s="555"/>
      <c r="AJ4" s="555"/>
      <c r="AK4" s="555"/>
      <c r="AL4" s="555"/>
      <c r="AM4" s="556"/>
      <c r="AN4" s="556"/>
      <c r="AO4" s="556"/>
      <c r="AP4" s="556"/>
      <c r="AQ4" s="555"/>
      <c r="AR4" s="555"/>
      <c r="AS4" s="555"/>
      <c r="AT4" s="555"/>
      <c r="AU4" s="556"/>
      <c r="AV4" s="556"/>
      <c r="AW4" s="555"/>
      <c r="AX4" s="555"/>
      <c r="AY4" s="556"/>
      <c r="AZ4" s="555"/>
      <c r="BA4" s="556"/>
      <c r="BB4" s="555"/>
      <c r="BC4" s="556"/>
      <c r="BD4" s="556"/>
      <c r="BE4" s="556"/>
      <c r="BF4" s="556"/>
      <c r="BG4" s="555"/>
      <c r="BH4" s="557"/>
      <c r="BI4" s="555"/>
      <c r="BJ4" s="555"/>
    </row>
    <row r="5">
      <c r="A5" s="554" t="s">
        <v>524</v>
      </c>
      <c r="B5" s="555"/>
      <c r="C5" s="555"/>
      <c r="D5" s="555"/>
      <c r="I5" s="560"/>
      <c r="J5" s="555"/>
      <c r="K5" s="555"/>
      <c r="L5" s="555"/>
      <c r="M5" s="555"/>
      <c r="N5" s="556"/>
      <c r="O5" s="556"/>
      <c r="P5" s="556"/>
      <c r="Q5" s="556"/>
      <c r="R5" s="556"/>
      <c r="S5" s="555"/>
      <c r="T5" s="555"/>
      <c r="U5" s="555"/>
      <c r="V5" s="557"/>
      <c r="W5" s="556"/>
      <c r="X5" s="555"/>
      <c r="Y5" s="555"/>
      <c r="Z5" s="555"/>
      <c r="AA5" s="556"/>
      <c r="AB5" s="555"/>
      <c r="AC5" s="556"/>
      <c r="AD5" s="556"/>
      <c r="AE5" s="556"/>
      <c r="AF5" s="555"/>
      <c r="AG5" s="558"/>
      <c r="AH5" s="556"/>
      <c r="AI5" s="555"/>
      <c r="AJ5" s="555"/>
      <c r="AK5" s="555"/>
      <c r="AL5" s="555"/>
      <c r="AM5" s="555"/>
      <c r="AN5" s="556"/>
      <c r="AO5" s="556"/>
      <c r="AP5" s="556"/>
      <c r="AQ5" s="555"/>
      <c r="AR5" s="555"/>
      <c r="AS5" s="555"/>
      <c r="AT5" s="555"/>
      <c r="AU5" s="556"/>
      <c r="AV5" s="556"/>
      <c r="AW5" s="555"/>
      <c r="AX5" s="555"/>
      <c r="AY5" s="556"/>
      <c r="AZ5" s="555"/>
      <c r="BA5" s="556"/>
      <c r="BB5" s="555"/>
      <c r="BC5" s="556"/>
      <c r="BD5" s="556"/>
      <c r="BE5" s="556"/>
      <c r="BF5" s="556"/>
      <c r="BG5" s="555"/>
      <c r="BH5" s="557"/>
      <c r="BI5" s="555"/>
      <c r="BJ5" s="555"/>
    </row>
    <row r="6">
      <c r="A6" s="551" t="s">
        <v>525</v>
      </c>
      <c r="B6" s="561"/>
      <c r="C6" s="561"/>
      <c r="D6" s="561"/>
      <c r="E6" s="562"/>
      <c r="F6" s="562"/>
      <c r="G6" s="562"/>
      <c r="H6" s="562"/>
      <c r="I6" s="562"/>
      <c r="J6" s="561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3"/>
      <c r="W6" s="561"/>
      <c r="X6" s="561"/>
      <c r="Y6" s="561"/>
      <c r="Z6" s="561"/>
      <c r="AA6" s="561"/>
      <c r="AB6" s="561"/>
      <c r="AC6" s="561"/>
      <c r="AD6" s="561"/>
      <c r="AE6" s="561"/>
      <c r="AF6" s="561"/>
      <c r="AG6" s="561"/>
      <c r="AH6" s="561"/>
      <c r="AI6" s="561"/>
      <c r="AJ6" s="561"/>
      <c r="AK6" s="561"/>
      <c r="AL6" s="561"/>
      <c r="AM6" s="561"/>
      <c r="AN6" s="561"/>
      <c r="AO6" s="561"/>
      <c r="AP6" s="561"/>
      <c r="AQ6" s="561"/>
      <c r="AR6" s="561"/>
      <c r="AS6" s="561"/>
      <c r="AT6" s="561"/>
      <c r="AU6" s="561"/>
      <c r="AV6" s="561"/>
      <c r="AW6" s="561"/>
      <c r="AX6" s="561"/>
      <c r="AY6" s="561"/>
      <c r="AZ6" s="561"/>
      <c r="BA6" s="561"/>
      <c r="BB6" s="561"/>
      <c r="BC6" s="561"/>
      <c r="BD6" s="561"/>
      <c r="BE6" s="561"/>
      <c r="BF6" s="561"/>
      <c r="BG6" s="561"/>
      <c r="BH6" s="563"/>
      <c r="BI6" s="561"/>
      <c r="BJ6" s="561"/>
    </row>
    <row r="7">
      <c r="A7" s="554" t="s">
        <v>526</v>
      </c>
      <c r="B7" s="555"/>
      <c r="C7" s="555"/>
      <c r="D7" s="555"/>
      <c r="I7" s="564" t="s">
        <v>527</v>
      </c>
      <c r="J7" s="555"/>
      <c r="K7" s="555"/>
      <c r="L7" s="555"/>
      <c r="M7" s="555"/>
      <c r="N7" s="556"/>
      <c r="O7" s="555"/>
      <c r="P7" s="564" t="s">
        <v>527</v>
      </c>
      <c r="Q7" s="555"/>
      <c r="R7" s="555"/>
      <c r="S7" s="555"/>
      <c r="T7" s="555"/>
      <c r="U7" s="555"/>
      <c r="V7" s="557"/>
      <c r="W7" s="555"/>
      <c r="X7" s="555"/>
      <c r="Y7" s="555"/>
      <c r="Z7" s="555"/>
      <c r="AA7" s="555"/>
      <c r="AB7" s="555"/>
      <c r="AC7" s="555"/>
      <c r="AD7" s="555"/>
      <c r="AE7" s="555"/>
      <c r="AF7" s="555"/>
      <c r="AG7" s="555"/>
      <c r="AH7" s="555"/>
      <c r="AI7" s="555"/>
      <c r="AJ7" s="555"/>
      <c r="AK7" s="555"/>
      <c r="AL7" s="555"/>
      <c r="AM7" s="555"/>
      <c r="AN7" s="555"/>
      <c r="AO7" s="555"/>
      <c r="AP7" s="555"/>
      <c r="AQ7" s="555"/>
      <c r="AR7" s="555"/>
      <c r="AS7" s="555"/>
      <c r="AT7" s="555"/>
      <c r="AU7" s="555"/>
      <c r="AV7" s="555"/>
      <c r="AW7" s="555"/>
      <c r="AX7" s="555"/>
      <c r="AY7" s="555"/>
      <c r="AZ7" s="555"/>
      <c r="BA7" s="555"/>
      <c r="BB7" s="555"/>
      <c r="BC7" s="556"/>
      <c r="BD7" s="555"/>
      <c r="BE7" s="555"/>
      <c r="BF7" s="555"/>
      <c r="BG7" s="555"/>
      <c r="BH7" s="557"/>
      <c r="BI7" s="555"/>
      <c r="BJ7" s="555"/>
    </row>
    <row r="8">
      <c r="A8" s="554" t="s">
        <v>528</v>
      </c>
      <c r="B8" s="555"/>
      <c r="C8" s="555"/>
      <c r="D8" s="555"/>
      <c r="I8" s="564" t="s">
        <v>527</v>
      </c>
      <c r="J8" s="555"/>
      <c r="K8" s="555"/>
      <c r="L8" s="555"/>
      <c r="M8" s="555"/>
      <c r="N8" s="556"/>
      <c r="O8" s="555"/>
      <c r="P8" s="564" t="s">
        <v>527</v>
      </c>
      <c r="Q8" s="555"/>
      <c r="R8" s="555"/>
      <c r="S8" s="555"/>
      <c r="T8" s="555"/>
      <c r="U8" s="555"/>
      <c r="V8" s="557"/>
      <c r="W8" s="555"/>
      <c r="X8" s="555"/>
      <c r="Y8" s="555"/>
      <c r="Z8" s="555"/>
      <c r="AA8" s="555"/>
      <c r="AB8" s="555"/>
      <c r="AC8" s="555"/>
      <c r="AD8" s="555"/>
      <c r="AE8" s="555"/>
      <c r="AF8" s="555"/>
      <c r="AG8" s="555"/>
      <c r="AH8" s="555"/>
      <c r="AI8" s="555"/>
      <c r="AJ8" s="555"/>
      <c r="AK8" s="555"/>
      <c r="AL8" s="555"/>
      <c r="AM8" s="555"/>
      <c r="AN8" s="555"/>
      <c r="AO8" s="555"/>
      <c r="AP8" s="555"/>
      <c r="AQ8" s="555"/>
      <c r="AR8" s="555"/>
      <c r="AS8" s="555"/>
      <c r="AT8" s="555"/>
      <c r="AU8" s="555"/>
      <c r="AV8" s="555"/>
      <c r="AW8" s="555"/>
      <c r="AX8" s="555"/>
      <c r="AY8" s="555"/>
      <c r="AZ8" s="555"/>
      <c r="BA8" s="555"/>
      <c r="BB8" s="555"/>
      <c r="BC8" s="556"/>
      <c r="BD8" s="555"/>
      <c r="BE8" s="555"/>
      <c r="BF8" s="555"/>
      <c r="BG8" s="555"/>
      <c r="BH8" s="557"/>
      <c r="BI8" s="555"/>
      <c r="BJ8" s="555"/>
    </row>
    <row r="9">
      <c r="A9" s="551" t="s">
        <v>529</v>
      </c>
      <c r="B9" s="561"/>
      <c r="C9" s="561"/>
      <c r="D9" s="561"/>
      <c r="E9" s="562"/>
      <c r="F9" s="562"/>
      <c r="G9" s="562"/>
      <c r="H9" s="562"/>
      <c r="I9" s="562"/>
      <c r="J9" s="561"/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3"/>
      <c r="W9" s="561"/>
      <c r="X9" s="561"/>
      <c r="Y9" s="561"/>
      <c r="Z9" s="561"/>
      <c r="AA9" s="561"/>
      <c r="AB9" s="561"/>
      <c r="AC9" s="561"/>
      <c r="AD9" s="561"/>
      <c r="AE9" s="561"/>
      <c r="AF9" s="561"/>
      <c r="AG9" s="561"/>
      <c r="AH9" s="561"/>
      <c r="AI9" s="561"/>
      <c r="AJ9" s="561"/>
      <c r="AK9" s="561"/>
      <c r="AL9" s="561"/>
      <c r="AM9" s="561"/>
      <c r="AN9" s="561"/>
      <c r="AO9" s="561"/>
      <c r="AP9" s="561"/>
      <c r="AQ9" s="561"/>
      <c r="AR9" s="561"/>
      <c r="AS9" s="561"/>
      <c r="AT9" s="561"/>
      <c r="AU9" s="561"/>
      <c r="AV9" s="561"/>
      <c r="AW9" s="561"/>
      <c r="AX9" s="561"/>
      <c r="AY9" s="561"/>
      <c r="AZ9" s="561"/>
      <c r="BA9" s="561"/>
      <c r="BB9" s="561"/>
      <c r="BC9" s="561"/>
      <c r="BD9" s="561"/>
      <c r="BE9" s="561"/>
      <c r="BF9" s="561"/>
      <c r="BG9" s="561"/>
      <c r="BH9" s="563"/>
      <c r="BI9" s="561"/>
      <c r="BJ9" s="561"/>
    </row>
    <row r="10">
      <c r="A10" s="554" t="s">
        <v>530</v>
      </c>
      <c r="B10" s="555"/>
      <c r="C10" s="555"/>
      <c r="D10" s="555"/>
      <c r="F10" s="560"/>
      <c r="H10" s="560"/>
      <c r="J10" s="555"/>
      <c r="K10" s="556"/>
      <c r="L10" s="555"/>
      <c r="M10" s="555"/>
      <c r="N10" s="555"/>
      <c r="O10" s="555"/>
      <c r="P10" s="555"/>
      <c r="Q10" s="555"/>
      <c r="R10" s="555"/>
      <c r="S10" s="555"/>
      <c r="T10" s="555"/>
      <c r="U10" s="555"/>
      <c r="V10" s="557"/>
      <c r="W10" s="555"/>
      <c r="X10" s="555"/>
      <c r="Y10" s="555"/>
      <c r="Z10" s="555"/>
      <c r="AA10" s="555"/>
      <c r="AB10" s="555"/>
      <c r="AC10" s="555"/>
      <c r="AD10" s="555"/>
      <c r="AE10" s="556"/>
      <c r="AF10" s="555"/>
      <c r="AG10" s="555"/>
      <c r="AH10" s="555"/>
      <c r="AI10" s="555"/>
      <c r="AJ10" s="555"/>
      <c r="AK10" s="555"/>
      <c r="AL10" s="555"/>
      <c r="AM10" s="555"/>
      <c r="AN10" s="555"/>
      <c r="AO10" s="555"/>
      <c r="AP10" s="555"/>
      <c r="AQ10" s="555"/>
      <c r="AR10" s="555"/>
      <c r="AS10" s="555"/>
      <c r="AT10" s="555"/>
      <c r="AU10" s="556"/>
      <c r="AV10" s="555"/>
      <c r="AW10" s="555"/>
      <c r="AX10" s="555"/>
      <c r="AY10" s="555"/>
      <c r="AZ10" s="555"/>
      <c r="BA10" s="565" t="s">
        <v>531</v>
      </c>
      <c r="BB10" s="556"/>
      <c r="BC10" s="555"/>
      <c r="BD10" s="555"/>
      <c r="BE10" s="555"/>
      <c r="BF10" s="555"/>
      <c r="BG10" s="555"/>
      <c r="BH10" s="557"/>
      <c r="BI10" s="555"/>
      <c r="BJ10" s="555"/>
    </row>
    <row r="11">
      <c r="A11" s="554" t="s">
        <v>532</v>
      </c>
      <c r="B11" s="555"/>
      <c r="C11" s="555"/>
      <c r="D11" s="555"/>
      <c r="F11" s="560"/>
      <c r="H11" s="560"/>
      <c r="J11" s="555"/>
      <c r="K11" s="556"/>
      <c r="L11" s="555"/>
      <c r="M11" s="555"/>
      <c r="N11" s="555"/>
      <c r="O11" s="555"/>
      <c r="P11" s="555"/>
      <c r="Q11" s="555"/>
      <c r="R11" s="555"/>
      <c r="S11" s="555"/>
      <c r="T11" s="555"/>
      <c r="U11" s="555"/>
      <c r="V11" s="557"/>
      <c r="W11" s="555"/>
      <c r="X11" s="555"/>
      <c r="Y11" s="555"/>
      <c r="Z11" s="555"/>
      <c r="AA11" s="555"/>
      <c r="AB11" s="555"/>
      <c r="AC11" s="555"/>
      <c r="AD11" s="555"/>
      <c r="AE11" s="556"/>
      <c r="AF11" s="555"/>
      <c r="AG11" s="555"/>
      <c r="AH11" s="555"/>
      <c r="AI11" s="555"/>
      <c r="AJ11" s="555"/>
      <c r="AK11" s="555"/>
      <c r="AL11" s="555"/>
      <c r="AM11" s="555"/>
      <c r="AN11" s="555"/>
      <c r="AO11" s="555"/>
      <c r="AP11" s="555"/>
      <c r="AQ11" s="555"/>
      <c r="AR11" s="555"/>
      <c r="AS11" s="555"/>
      <c r="AT11" s="555"/>
      <c r="AU11" s="556"/>
      <c r="AV11" s="555"/>
      <c r="AW11" s="555"/>
      <c r="AX11" s="555"/>
      <c r="AY11" s="555"/>
      <c r="AZ11" s="555"/>
      <c r="BA11" s="565" t="s">
        <v>531</v>
      </c>
      <c r="BB11" s="556"/>
      <c r="BC11" s="555"/>
      <c r="BD11" s="555"/>
      <c r="BE11" s="555"/>
      <c r="BF11" s="555"/>
      <c r="BG11" s="555"/>
      <c r="BH11" s="557"/>
      <c r="BI11" s="555"/>
      <c r="BJ11" s="555"/>
    </row>
    <row r="12">
      <c r="A12" s="551" t="s">
        <v>533</v>
      </c>
      <c r="B12" s="561"/>
      <c r="C12" s="561"/>
      <c r="D12" s="561"/>
      <c r="E12" s="562"/>
      <c r="F12" s="562"/>
      <c r="G12" s="562"/>
      <c r="H12" s="562"/>
      <c r="I12" s="562"/>
      <c r="J12" s="561"/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3"/>
      <c r="W12" s="561"/>
      <c r="X12" s="561"/>
      <c r="Y12" s="561"/>
      <c r="Z12" s="561"/>
      <c r="AA12" s="561"/>
      <c r="AB12" s="561"/>
      <c r="AC12" s="561"/>
      <c r="AD12" s="561"/>
      <c r="AE12" s="561"/>
      <c r="AF12" s="561"/>
      <c r="AG12" s="561"/>
      <c r="AH12" s="561"/>
      <c r="AI12" s="561"/>
      <c r="AJ12" s="561"/>
      <c r="AK12" s="561"/>
      <c r="AL12" s="561"/>
      <c r="AM12" s="561"/>
      <c r="AN12" s="561"/>
      <c r="AO12" s="561"/>
      <c r="AP12" s="561"/>
      <c r="AQ12" s="561"/>
      <c r="AR12" s="561"/>
      <c r="AS12" s="561"/>
      <c r="AT12" s="561"/>
      <c r="AU12" s="561"/>
      <c r="AV12" s="561"/>
      <c r="AW12" s="561"/>
      <c r="AX12" s="561"/>
      <c r="AY12" s="561"/>
      <c r="AZ12" s="561"/>
      <c r="BA12" s="561"/>
      <c r="BB12" s="561"/>
      <c r="BC12" s="561"/>
      <c r="BD12" s="561"/>
      <c r="BE12" s="561"/>
      <c r="BF12" s="561"/>
      <c r="BG12" s="561"/>
      <c r="BH12" s="563"/>
      <c r="BI12" s="561"/>
      <c r="BJ12" s="561"/>
    </row>
    <row r="13">
      <c r="A13" s="554" t="s">
        <v>534</v>
      </c>
      <c r="B13" s="555"/>
      <c r="C13" s="555"/>
      <c r="D13" s="555"/>
      <c r="J13" s="555"/>
      <c r="K13" s="555"/>
      <c r="L13" s="555"/>
      <c r="M13" s="555"/>
      <c r="N13" s="555"/>
      <c r="O13" s="555"/>
      <c r="P13" s="555"/>
      <c r="Q13" s="555"/>
      <c r="R13" s="555"/>
      <c r="S13" s="555"/>
      <c r="T13" s="555"/>
      <c r="U13" s="555"/>
      <c r="V13" s="557"/>
      <c r="W13" s="555"/>
      <c r="X13" s="555"/>
      <c r="Y13" s="555"/>
      <c r="Z13" s="555"/>
      <c r="AA13" s="555"/>
      <c r="AB13" s="556"/>
      <c r="AC13" s="555"/>
      <c r="AD13" s="555"/>
      <c r="AE13" s="555"/>
      <c r="AF13" s="555"/>
      <c r="AG13" s="555"/>
      <c r="AH13" s="555"/>
      <c r="AI13" s="555"/>
      <c r="AJ13" s="555"/>
      <c r="AK13" s="555"/>
      <c r="AL13" s="555"/>
      <c r="AM13" s="555"/>
      <c r="AN13" s="555"/>
      <c r="AO13" s="555"/>
      <c r="AP13" s="555"/>
      <c r="AQ13" s="555"/>
      <c r="AR13" s="555"/>
      <c r="AS13" s="555"/>
      <c r="AT13" s="555"/>
      <c r="AU13" s="555"/>
      <c r="AV13" s="555"/>
      <c r="AW13" s="555"/>
      <c r="AX13" s="555"/>
      <c r="AY13" s="555"/>
      <c r="AZ13" s="555"/>
      <c r="BA13" s="555"/>
      <c r="BB13" s="555"/>
      <c r="BC13" s="555"/>
      <c r="BD13" s="555"/>
      <c r="BE13" s="555"/>
      <c r="BF13" s="555"/>
      <c r="BG13" s="555"/>
      <c r="BH13" s="557"/>
      <c r="BI13" s="555"/>
      <c r="BJ13" s="555"/>
    </row>
    <row r="14">
      <c r="A14" s="554" t="s">
        <v>535</v>
      </c>
      <c r="B14" s="555"/>
      <c r="C14" s="555"/>
      <c r="D14" s="555"/>
      <c r="J14" s="555"/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5"/>
      <c r="V14" s="557"/>
      <c r="W14" s="555"/>
      <c r="X14" s="555"/>
      <c r="Y14" s="555"/>
      <c r="Z14" s="555"/>
      <c r="AA14" s="555"/>
      <c r="AB14" s="556"/>
      <c r="AC14" s="555"/>
      <c r="AD14" s="555"/>
      <c r="AE14" s="555"/>
      <c r="AF14" s="555"/>
      <c r="AG14" s="555"/>
      <c r="AH14" s="555"/>
      <c r="AI14" s="555"/>
      <c r="AJ14" s="555"/>
      <c r="AK14" s="555"/>
      <c r="AL14" s="555"/>
      <c r="AM14" s="555"/>
      <c r="AN14" s="555"/>
      <c r="AO14" s="555"/>
      <c r="AP14" s="555"/>
      <c r="AQ14" s="555"/>
      <c r="AR14" s="555"/>
      <c r="AS14" s="555"/>
      <c r="AT14" s="555"/>
      <c r="AU14" s="555"/>
      <c r="AV14" s="555"/>
      <c r="AW14" s="555"/>
      <c r="AX14" s="555"/>
      <c r="AY14" s="555"/>
      <c r="AZ14" s="555"/>
      <c r="BA14" s="555"/>
      <c r="BB14" s="555"/>
      <c r="BC14" s="555"/>
      <c r="BD14" s="555"/>
      <c r="BE14" s="555"/>
      <c r="BF14" s="555"/>
      <c r="BG14" s="555"/>
      <c r="BH14" s="557"/>
      <c r="BI14" s="555"/>
      <c r="BJ14" s="555"/>
    </row>
    <row r="15">
      <c r="A15" s="554" t="s">
        <v>536</v>
      </c>
      <c r="B15" s="555"/>
      <c r="C15" s="555"/>
      <c r="D15" s="555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5"/>
      <c r="V15" s="557"/>
      <c r="W15" s="555"/>
      <c r="X15" s="555"/>
      <c r="Y15" s="555"/>
      <c r="Z15" s="555"/>
      <c r="AA15" s="555"/>
      <c r="AB15" s="556"/>
      <c r="AC15" s="555"/>
      <c r="AD15" s="555"/>
      <c r="AE15" s="555"/>
      <c r="AF15" s="555"/>
      <c r="AG15" s="555"/>
      <c r="AH15" s="555"/>
      <c r="AI15" s="555"/>
      <c r="AJ15" s="555"/>
      <c r="AK15" s="555"/>
      <c r="AL15" s="555"/>
      <c r="AM15" s="555"/>
      <c r="AN15" s="555"/>
      <c r="AO15" s="555"/>
      <c r="AP15" s="555"/>
      <c r="AQ15" s="555"/>
      <c r="AR15" s="555"/>
      <c r="AS15" s="555"/>
      <c r="AT15" s="555"/>
      <c r="AU15" s="555"/>
      <c r="AV15" s="555"/>
      <c r="AW15" s="555"/>
      <c r="AX15" s="555"/>
      <c r="AY15" s="555"/>
      <c r="AZ15" s="555"/>
      <c r="BA15" s="555"/>
      <c r="BB15" s="555"/>
      <c r="BC15" s="555"/>
      <c r="BD15" s="555"/>
      <c r="BE15" s="555"/>
      <c r="BF15" s="555"/>
      <c r="BG15" s="555"/>
      <c r="BH15" s="557"/>
      <c r="BI15" s="555"/>
      <c r="BJ15" s="555"/>
    </row>
    <row r="16">
      <c r="A16" s="551" t="s">
        <v>537</v>
      </c>
      <c r="B16" s="552"/>
      <c r="C16" s="552"/>
      <c r="D16" s="552"/>
      <c r="E16" s="111"/>
      <c r="F16" s="111"/>
      <c r="G16" s="111"/>
      <c r="H16" s="111"/>
      <c r="I16" s="111"/>
      <c r="J16" s="552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3"/>
      <c r="W16" s="552"/>
      <c r="X16" s="552"/>
      <c r="Y16" s="552"/>
      <c r="Z16" s="552"/>
      <c r="AA16" s="552"/>
      <c r="AB16" s="552"/>
      <c r="AC16" s="552"/>
      <c r="AD16" s="552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52"/>
      <c r="AP16" s="552"/>
      <c r="AQ16" s="552"/>
      <c r="AR16" s="552"/>
      <c r="AS16" s="552"/>
      <c r="AT16" s="552"/>
      <c r="AU16" s="552"/>
      <c r="AV16" s="552"/>
      <c r="AW16" s="552"/>
      <c r="AX16" s="552"/>
      <c r="AY16" s="552"/>
      <c r="AZ16" s="552"/>
      <c r="BA16" s="552"/>
      <c r="BB16" s="552"/>
      <c r="BC16" s="552"/>
      <c r="BD16" s="552"/>
      <c r="BE16" s="552"/>
      <c r="BF16" s="552"/>
      <c r="BG16" s="552"/>
      <c r="BH16" s="553"/>
      <c r="BI16" s="552"/>
      <c r="BJ16" s="552"/>
    </row>
    <row r="17">
      <c r="A17" s="554" t="s">
        <v>538</v>
      </c>
      <c r="B17" s="555"/>
      <c r="C17" s="555"/>
      <c r="D17" s="555"/>
      <c r="J17" s="555"/>
      <c r="K17" s="555"/>
      <c r="L17" s="555"/>
      <c r="M17" s="555"/>
      <c r="N17" s="556"/>
      <c r="O17" s="556"/>
      <c r="P17" s="555"/>
      <c r="Q17" s="555"/>
      <c r="R17" s="555"/>
      <c r="S17" s="555"/>
      <c r="T17" s="555"/>
      <c r="U17" s="555"/>
      <c r="V17" s="557"/>
      <c r="W17" s="555"/>
      <c r="X17" s="555"/>
      <c r="Y17" s="555"/>
      <c r="Z17" s="555"/>
      <c r="AA17" s="555"/>
      <c r="AB17" s="555"/>
      <c r="AC17" s="555"/>
      <c r="AD17" s="555"/>
      <c r="AE17" s="556"/>
      <c r="AF17" s="555"/>
      <c r="AG17" s="555"/>
      <c r="AH17" s="555"/>
      <c r="AI17" s="555"/>
      <c r="AJ17" s="555"/>
      <c r="AK17" s="555"/>
      <c r="AL17" s="555"/>
      <c r="AM17" s="556"/>
      <c r="AN17" s="555"/>
      <c r="AO17" s="555"/>
      <c r="AP17" s="556"/>
      <c r="AQ17" s="555"/>
      <c r="AR17" s="555"/>
      <c r="AS17" s="555"/>
      <c r="AT17" s="555"/>
      <c r="AU17" s="555"/>
      <c r="AV17" s="556"/>
      <c r="AW17" s="555"/>
      <c r="AX17" s="555"/>
      <c r="AY17" s="556"/>
      <c r="AZ17" s="555"/>
      <c r="BA17" s="555"/>
      <c r="BB17" s="555"/>
      <c r="BC17" s="555"/>
      <c r="BD17" s="555"/>
      <c r="BE17" s="555"/>
      <c r="BF17" s="556"/>
      <c r="BG17" s="555"/>
      <c r="BH17" s="557"/>
      <c r="BI17" s="555"/>
      <c r="BJ17" s="555"/>
    </row>
    <row r="18">
      <c r="A18" s="554" t="s">
        <v>539</v>
      </c>
      <c r="B18" s="555"/>
      <c r="C18" s="555"/>
      <c r="D18" s="555"/>
      <c r="J18" s="555"/>
      <c r="K18" s="555"/>
      <c r="L18" s="555"/>
      <c r="M18" s="555"/>
      <c r="N18" s="556"/>
      <c r="O18" s="556"/>
      <c r="P18" s="555"/>
      <c r="Q18" s="555"/>
      <c r="R18" s="555"/>
      <c r="S18" s="555"/>
      <c r="T18" s="555"/>
      <c r="U18" s="555"/>
      <c r="V18" s="557"/>
      <c r="W18" s="555"/>
      <c r="X18" s="555"/>
      <c r="Y18" s="555"/>
      <c r="Z18" s="555"/>
      <c r="AA18" s="555"/>
      <c r="AB18" s="555"/>
      <c r="AC18" s="555"/>
      <c r="AD18" s="555"/>
      <c r="AE18" s="556"/>
      <c r="AF18" s="555"/>
      <c r="AG18" s="555"/>
      <c r="AH18" s="555"/>
      <c r="AI18" s="555"/>
      <c r="AJ18" s="555"/>
      <c r="AK18" s="555"/>
      <c r="AL18" s="555"/>
      <c r="AM18" s="556"/>
      <c r="AN18" s="555"/>
      <c r="AO18" s="555"/>
      <c r="AP18" s="556"/>
      <c r="AQ18" s="555"/>
      <c r="AR18" s="555"/>
      <c r="AS18" s="555"/>
      <c r="AT18" s="555"/>
      <c r="AU18" s="555"/>
      <c r="AV18" s="556"/>
      <c r="AW18" s="555"/>
      <c r="AX18" s="555"/>
      <c r="AY18" s="556"/>
      <c r="AZ18" s="555"/>
      <c r="BA18" s="555"/>
      <c r="BB18" s="555"/>
      <c r="BC18" s="555"/>
      <c r="BD18" s="555"/>
      <c r="BE18" s="555"/>
      <c r="BF18" s="556"/>
      <c r="BG18" s="555"/>
      <c r="BH18" s="557"/>
      <c r="BI18" s="555"/>
      <c r="BJ18" s="555"/>
    </row>
    <row r="19">
      <c r="A19" s="554" t="s">
        <v>540</v>
      </c>
      <c r="B19" s="555"/>
      <c r="C19" s="555"/>
      <c r="D19" s="555"/>
      <c r="J19" s="555"/>
      <c r="K19" s="555"/>
      <c r="L19" s="555"/>
      <c r="M19" s="555"/>
      <c r="N19" s="556"/>
      <c r="O19" s="556"/>
      <c r="P19" s="555"/>
      <c r="Q19" s="555"/>
      <c r="R19" s="555"/>
      <c r="S19" s="555"/>
      <c r="T19" s="555"/>
      <c r="U19" s="555"/>
      <c r="V19" s="557"/>
      <c r="W19" s="555"/>
      <c r="X19" s="555"/>
      <c r="Y19" s="555"/>
      <c r="Z19" s="555"/>
      <c r="AA19" s="555"/>
      <c r="AB19" s="555"/>
      <c r="AC19" s="555"/>
      <c r="AD19" s="555"/>
      <c r="AE19" s="556"/>
      <c r="AF19" s="555"/>
      <c r="AG19" s="555"/>
      <c r="AH19" s="555"/>
      <c r="AI19" s="555"/>
      <c r="AJ19" s="555"/>
      <c r="AK19" s="555"/>
      <c r="AL19" s="555"/>
      <c r="AM19" s="556"/>
      <c r="AN19" s="555"/>
      <c r="AO19" s="555"/>
      <c r="AP19" s="556"/>
      <c r="AQ19" s="555"/>
      <c r="AR19" s="555"/>
      <c r="AS19" s="555"/>
      <c r="AT19" s="555"/>
      <c r="AU19" s="555"/>
      <c r="AV19" s="556"/>
      <c r="AW19" s="555"/>
      <c r="AX19" s="555"/>
      <c r="AY19" s="556"/>
      <c r="AZ19" s="555"/>
      <c r="BA19" s="555"/>
      <c r="BB19" s="555"/>
      <c r="BC19" s="555"/>
      <c r="BD19" s="555"/>
      <c r="BE19" s="555"/>
      <c r="BF19" s="556"/>
      <c r="BG19" s="555"/>
      <c r="BH19" s="557"/>
      <c r="BI19" s="555"/>
      <c r="BJ19" s="555"/>
    </row>
    <row r="20">
      <c r="A20" s="551" t="s">
        <v>476</v>
      </c>
      <c r="B20" s="552"/>
      <c r="C20" s="552"/>
      <c r="D20" s="552"/>
      <c r="E20" s="111"/>
      <c r="F20" s="111"/>
      <c r="G20" s="111"/>
      <c r="H20" s="111"/>
      <c r="I20" s="111"/>
      <c r="J20" s="552"/>
      <c r="K20" s="552"/>
      <c r="L20" s="552"/>
      <c r="M20" s="552"/>
      <c r="N20" s="552"/>
      <c r="O20" s="552"/>
      <c r="P20" s="552"/>
      <c r="Q20" s="552"/>
      <c r="R20" s="552"/>
      <c r="S20" s="552"/>
      <c r="T20" s="552"/>
      <c r="U20" s="552"/>
      <c r="V20" s="553"/>
      <c r="W20" s="552"/>
      <c r="X20" s="552"/>
      <c r="Y20" s="552"/>
      <c r="Z20" s="552"/>
      <c r="AA20" s="552"/>
      <c r="AB20" s="552"/>
      <c r="AC20" s="552"/>
      <c r="AD20" s="552"/>
      <c r="AE20" s="552"/>
      <c r="AF20" s="552"/>
      <c r="AG20" s="552"/>
      <c r="AH20" s="552"/>
      <c r="AI20" s="552"/>
      <c r="AJ20" s="552"/>
      <c r="AK20" s="552"/>
      <c r="AL20" s="552"/>
      <c r="AM20" s="552"/>
      <c r="AN20" s="552"/>
      <c r="AO20" s="552"/>
      <c r="AP20" s="552"/>
      <c r="AQ20" s="552"/>
      <c r="AR20" s="552"/>
      <c r="AS20" s="552"/>
      <c r="AT20" s="552"/>
      <c r="AU20" s="552"/>
      <c r="AV20" s="552"/>
      <c r="AW20" s="552"/>
      <c r="AX20" s="552"/>
      <c r="AY20" s="552"/>
      <c r="AZ20" s="552"/>
      <c r="BA20" s="552"/>
      <c r="BB20" s="552"/>
      <c r="BC20" s="552"/>
      <c r="BD20" s="552"/>
      <c r="BE20" s="552"/>
      <c r="BF20" s="552"/>
      <c r="BG20" s="552"/>
      <c r="BH20" s="553"/>
      <c r="BI20" s="552"/>
      <c r="BJ20" s="552"/>
    </row>
    <row r="21">
      <c r="A21" s="554" t="s">
        <v>541</v>
      </c>
      <c r="B21" s="555"/>
      <c r="C21" s="555"/>
      <c r="D21" s="555"/>
      <c r="J21" s="555"/>
      <c r="K21" s="555"/>
      <c r="L21" s="555"/>
      <c r="M21" s="556"/>
      <c r="N21" s="555"/>
      <c r="O21" s="566" t="s">
        <v>527</v>
      </c>
      <c r="P21" s="555"/>
      <c r="Q21" s="555"/>
      <c r="R21" s="555"/>
      <c r="S21" s="556"/>
      <c r="T21" s="556"/>
      <c r="U21" s="555"/>
      <c r="V21" s="557"/>
      <c r="W21" s="556"/>
      <c r="X21" s="555"/>
      <c r="Y21" s="555"/>
      <c r="Z21" s="555"/>
      <c r="AA21" s="566" t="s">
        <v>527</v>
      </c>
      <c r="AB21" s="556"/>
      <c r="AC21" s="555"/>
      <c r="AD21" s="555"/>
      <c r="AE21" s="566" t="s">
        <v>527</v>
      </c>
      <c r="AF21" s="555"/>
      <c r="AG21" s="555"/>
      <c r="AH21" s="555"/>
      <c r="AI21" s="555"/>
      <c r="AJ21" s="566" t="s">
        <v>527</v>
      </c>
      <c r="AK21" s="555"/>
      <c r="AL21" s="555"/>
      <c r="AM21" s="555"/>
      <c r="AN21" s="566" t="s">
        <v>527</v>
      </c>
      <c r="AO21" s="555"/>
      <c r="AP21" s="555"/>
      <c r="AQ21" s="555"/>
      <c r="AR21" s="555"/>
      <c r="AS21" s="555"/>
      <c r="AT21" s="555"/>
      <c r="AU21" s="555"/>
      <c r="AV21" s="555"/>
      <c r="AW21" s="555"/>
      <c r="AX21" s="555"/>
      <c r="AY21" s="555"/>
      <c r="AZ21" s="555"/>
      <c r="BA21" s="555"/>
      <c r="BB21" s="555"/>
      <c r="BC21" s="555"/>
      <c r="BD21" s="566" t="s">
        <v>527</v>
      </c>
      <c r="BE21" s="566" t="s">
        <v>527</v>
      </c>
      <c r="BF21" s="555"/>
      <c r="BG21" s="555"/>
      <c r="BH21" s="557"/>
      <c r="BI21" s="555"/>
      <c r="BJ21" s="555"/>
    </row>
    <row r="22">
      <c r="A22" s="554" t="s">
        <v>542</v>
      </c>
      <c r="B22" s="555"/>
      <c r="C22" s="555"/>
      <c r="D22" s="555"/>
      <c r="J22" s="555"/>
      <c r="K22" s="555"/>
      <c r="L22" s="555"/>
      <c r="M22" s="556"/>
      <c r="N22" s="555"/>
      <c r="O22" s="566" t="s">
        <v>527</v>
      </c>
      <c r="P22" s="555"/>
      <c r="Q22" s="555"/>
      <c r="R22" s="555"/>
      <c r="S22" s="556"/>
      <c r="T22" s="556"/>
      <c r="U22" s="555"/>
      <c r="V22" s="557"/>
      <c r="W22" s="556"/>
      <c r="X22" s="555"/>
      <c r="Y22" s="555"/>
      <c r="Z22" s="555"/>
      <c r="AA22" s="566" t="s">
        <v>527</v>
      </c>
      <c r="AB22" s="556"/>
      <c r="AC22" s="555"/>
      <c r="AD22" s="555"/>
      <c r="AE22" s="566" t="s">
        <v>527</v>
      </c>
      <c r="AF22" s="555"/>
      <c r="AG22" s="555"/>
      <c r="AH22" s="555"/>
      <c r="AI22" s="555"/>
      <c r="AJ22" s="566" t="s">
        <v>527</v>
      </c>
      <c r="AK22" s="555"/>
      <c r="AL22" s="555"/>
      <c r="AM22" s="555"/>
      <c r="AN22" s="566" t="s">
        <v>527</v>
      </c>
      <c r="AO22" s="555"/>
      <c r="AP22" s="555"/>
      <c r="AQ22" s="555"/>
      <c r="AR22" s="555"/>
      <c r="AS22" s="555"/>
      <c r="AT22" s="555"/>
      <c r="AU22" s="555"/>
      <c r="AV22" s="555"/>
      <c r="AW22" s="555"/>
      <c r="AX22" s="555"/>
      <c r="AY22" s="555"/>
      <c r="AZ22" s="555"/>
      <c r="BA22" s="555"/>
      <c r="BB22" s="555"/>
      <c r="BC22" s="555"/>
      <c r="BD22" s="566" t="s">
        <v>527</v>
      </c>
      <c r="BE22" s="566" t="s">
        <v>527</v>
      </c>
      <c r="BF22" s="555"/>
      <c r="BG22" s="555"/>
      <c r="BH22" s="557"/>
      <c r="BI22" s="555"/>
      <c r="BJ22" s="555"/>
    </row>
    <row r="23">
      <c r="A23" s="554" t="s">
        <v>543</v>
      </c>
      <c r="B23" s="555"/>
      <c r="C23" s="555"/>
      <c r="D23" s="555"/>
      <c r="J23" s="555"/>
      <c r="K23" s="555"/>
      <c r="L23" s="555"/>
      <c r="M23" s="556"/>
      <c r="N23" s="555"/>
      <c r="O23" s="566" t="s">
        <v>527</v>
      </c>
      <c r="P23" s="555"/>
      <c r="Q23" s="555"/>
      <c r="R23" s="555"/>
      <c r="S23" s="556"/>
      <c r="T23" s="556"/>
      <c r="U23" s="555"/>
      <c r="V23" s="557"/>
      <c r="W23" s="556"/>
      <c r="X23" s="555"/>
      <c r="Y23" s="555"/>
      <c r="Z23" s="555"/>
      <c r="AA23" s="566" t="s">
        <v>527</v>
      </c>
      <c r="AB23" s="556"/>
      <c r="AC23" s="555"/>
      <c r="AD23" s="555"/>
      <c r="AE23" s="566" t="s">
        <v>527</v>
      </c>
      <c r="AF23" s="555"/>
      <c r="AG23" s="555"/>
      <c r="AH23" s="555"/>
      <c r="AI23" s="555"/>
      <c r="AJ23" s="566" t="s">
        <v>527</v>
      </c>
      <c r="AK23" s="555"/>
      <c r="AL23" s="555"/>
      <c r="AM23" s="555"/>
      <c r="AN23" s="566" t="s">
        <v>527</v>
      </c>
      <c r="AO23" s="555"/>
      <c r="AP23" s="555"/>
      <c r="AQ23" s="555"/>
      <c r="AR23" s="555"/>
      <c r="AS23" s="555"/>
      <c r="AT23" s="555"/>
      <c r="AU23" s="555"/>
      <c r="AV23" s="555"/>
      <c r="AW23" s="555"/>
      <c r="AX23" s="555"/>
      <c r="AY23" s="555"/>
      <c r="AZ23" s="555"/>
      <c r="BA23" s="555"/>
      <c r="BB23" s="555"/>
      <c r="BC23" s="555"/>
      <c r="BD23" s="566" t="s">
        <v>527</v>
      </c>
      <c r="BE23" s="566" t="s">
        <v>527</v>
      </c>
      <c r="BF23" s="555"/>
      <c r="BG23" s="555"/>
      <c r="BH23" s="557"/>
      <c r="BI23" s="555"/>
      <c r="BJ23" s="555"/>
    </row>
    <row r="24">
      <c r="A24" s="551" t="s">
        <v>544</v>
      </c>
      <c r="B24" s="552"/>
      <c r="C24" s="552"/>
      <c r="D24" s="552"/>
      <c r="E24" s="111"/>
      <c r="F24" s="111"/>
      <c r="G24" s="111"/>
      <c r="H24" s="111"/>
      <c r="I24" s="111"/>
      <c r="J24" s="552"/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3"/>
      <c r="W24" s="552"/>
      <c r="X24" s="552"/>
      <c r="Y24" s="552"/>
      <c r="Z24" s="552"/>
      <c r="AA24" s="552"/>
      <c r="AB24" s="552"/>
      <c r="AC24" s="552"/>
      <c r="AD24" s="552"/>
      <c r="AE24" s="552"/>
      <c r="AF24" s="552"/>
      <c r="AG24" s="552"/>
      <c r="AH24" s="552"/>
      <c r="AI24" s="552"/>
      <c r="AJ24" s="552"/>
      <c r="AK24" s="552"/>
      <c r="AL24" s="552"/>
      <c r="AM24" s="552"/>
      <c r="AN24" s="552"/>
      <c r="AO24" s="552"/>
      <c r="AP24" s="552"/>
      <c r="AQ24" s="552"/>
      <c r="AR24" s="552"/>
      <c r="AS24" s="552"/>
      <c r="AT24" s="552"/>
      <c r="AU24" s="552"/>
      <c r="AV24" s="552"/>
      <c r="AW24" s="552"/>
      <c r="AX24" s="552"/>
      <c r="AY24" s="552"/>
      <c r="AZ24" s="552"/>
      <c r="BA24" s="552"/>
      <c r="BB24" s="552"/>
      <c r="BC24" s="552"/>
      <c r="BD24" s="552"/>
      <c r="BE24" s="552"/>
      <c r="BF24" s="552"/>
      <c r="BG24" s="552"/>
      <c r="BH24" s="553"/>
      <c r="BI24" s="552"/>
      <c r="BJ24" s="552"/>
    </row>
    <row r="25">
      <c r="A25" s="554" t="s">
        <v>545</v>
      </c>
      <c r="B25" s="555"/>
      <c r="C25" s="555"/>
      <c r="D25" s="555"/>
      <c r="G25" s="560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7"/>
      <c r="W25" s="555"/>
      <c r="X25" s="555"/>
      <c r="Y25" s="555"/>
      <c r="Z25" s="555"/>
      <c r="AA25" s="555"/>
      <c r="AB25" s="555"/>
      <c r="AC25" s="555"/>
      <c r="AD25" s="555"/>
      <c r="AE25" s="555"/>
      <c r="AF25" s="555"/>
      <c r="AG25" s="555"/>
      <c r="AH25" s="555"/>
      <c r="AI25" s="555"/>
      <c r="AJ25" s="555"/>
      <c r="AK25" s="555"/>
      <c r="AL25" s="555"/>
      <c r="AM25" s="555"/>
      <c r="AN25" s="556"/>
      <c r="AO25" s="555"/>
      <c r="AP25" s="555"/>
      <c r="AQ25" s="555"/>
      <c r="AR25" s="555"/>
      <c r="AS25" s="556"/>
      <c r="AT25" s="555"/>
      <c r="AU25" s="555"/>
      <c r="AV25" s="555"/>
      <c r="AW25" s="555"/>
      <c r="AX25" s="555"/>
      <c r="AY25" s="555"/>
      <c r="AZ25" s="555"/>
      <c r="BA25" s="555"/>
      <c r="BB25" s="555"/>
      <c r="BC25" s="566" t="s">
        <v>546</v>
      </c>
      <c r="BD25" s="555"/>
      <c r="BE25" s="555"/>
      <c r="BF25" s="555"/>
      <c r="BG25" s="555"/>
      <c r="BH25" s="557"/>
      <c r="BI25" s="555"/>
      <c r="BJ25" s="555"/>
    </row>
    <row r="26">
      <c r="A26" s="554" t="s">
        <v>547</v>
      </c>
      <c r="B26" s="555"/>
      <c r="C26" s="555"/>
      <c r="D26" s="555"/>
      <c r="G26" s="560"/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7"/>
      <c r="W26" s="555"/>
      <c r="X26" s="555"/>
      <c r="Y26" s="555"/>
      <c r="Z26" s="555"/>
      <c r="AA26" s="555"/>
      <c r="AB26" s="555"/>
      <c r="AC26" s="555"/>
      <c r="AD26" s="555"/>
      <c r="AE26" s="555"/>
      <c r="AF26" s="555"/>
      <c r="AG26" s="555"/>
      <c r="AH26" s="555"/>
      <c r="AI26" s="555"/>
      <c r="AJ26" s="555"/>
      <c r="AK26" s="555"/>
      <c r="AL26" s="555"/>
      <c r="AM26" s="555"/>
      <c r="AN26" s="556"/>
      <c r="AO26" s="555"/>
      <c r="AP26" s="555"/>
      <c r="AQ26" s="555"/>
      <c r="AR26" s="555"/>
      <c r="AS26" s="556"/>
      <c r="AT26" s="555"/>
      <c r="AU26" s="555"/>
      <c r="AV26" s="555"/>
      <c r="AW26" s="555"/>
      <c r="AX26" s="555"/>
      <c r="AY26" s="555"/>
      <c r="AZ26" s="555"/>
      <c r="BA26" s="555"/>
      <c r="BB26" s="555"/>
      <c r="BC26" s="566" t="s">
        <v>546</v>
      </c>
      <c r="BD26" s="555"/>
      <c r="BE26" s="555"/>
      <c r="BF26" s="555"/>
      <c r="BG26" s="555"/>
      <c r="BH26" s="557"/>
      <c r="BI26" s="555"/>
      <c r="BJ26" s="555"/>
    </row>
    <row r="27">
      <c r="A27" s="554" t="s">
        <v>548</v>
      </c>
      <c r="B27" s="555"/>
      <c r="C27" s="555"/>
      <c r="D27" s="555"/>
      <c r="G27" s="560"/>
      <c r="J27" s="555"/>
      <c r="K27" s="555"/>
      <c r="L27" s="555"/>
      <c r="M27" s="555"/>
      <c r="N27" s="555"/>
      <c r="O27" s="555"/>
      <c r="P27" s="555"/>
      <c r="Q27" s="555"/>
      <c r="R27" s="555"/>
      <c r="S27" s="555"/>
      <c r="T27" s="555"/>
      <c r="U27" s="555"/>
      <c r="V27" s="557"/>
      <c r="W27" s="555"/>
      <c r="X27" s="555"/>
      <c r="Y27" s="555"/>
      <c r="Z27" s="555"/>
      <c r="AA27" s="555"/>
      <c r="AB27" s="555"/>
      <c r="AC27" s="555"/>
      <c r="AD27" s="555"/>
      <c r="AE27" s="555"/>
      <c r="AF27" s="555"/>
      <c r="AG27" s="555"/>
      <c r="AH27" s="555"/>
      <c r="AI27" s="555"/>
      <c r="AJ27" s="555"/>
      <c r="AK27" s="555"/>
      <c r="AL27" s="555"/>
      <c r="AM27" s="555"/>
      <c r="AN27" s="556"/>
      <c r="AO27" s="555"/>
      <c r="AP27" s="555"/>
      <c r="AQ27" s="555"/>
      <c r="AR27" s="555"/>
      <c r="AS27" s="556"/>
      <c r="AT27" s="555"/>
      <c r="AU27" s="555"/>
      <c r="AV27" s="555"/>
      <c r="AW27" s="555"/>
      <c r="AX27" s="555"/>
      <c r="AY27" s="555"/>
      <c r="AZ27" s="555"/>
      <c r="BA27" s="555"/>
      <c r="BB27" s="555"/>
      <c r="BC27" s="566" t="s">
        <v>546</v>
      </c>
      <c r="BD27" s="555"/>
      <c r="BE27" s="555"/>
      <c r="BF27" s="555"/>
      <c r="BG27" s="555"/>
      <c r="BH27" s="557"/>
      <c r="BI27" s="555"/>
      <c r="BJ27" s="555"/>
    </row>
    <row r="28">
      <c r="A28" s="551" t="s">
        <v>549</v>
      </c>
      <c r="B28" s="552"/>
      <c r="C28" s="552"/>
      <c r="D28" s="552"/>
      <c r="E28" s="111"/>
      <c r="F28" s="111"/>
      <c r="G28" s="111"/>
      <c r="H28" s="111"/>
      <c r="I28" s="111"/>
      <c r="J28" s="552"/>
      <c r="K28" s="552"/>
      <c r="L28" s="552"/>
      <c r="M28" s="552"/>
      <c r="N28" s="552"/>
      <c r="O28" s="552"/>
      <c r="P28" s="552"/>
      <c r="Q28" s="552"/>
      <c r="R28" s="552"/>
      <c r="S28" s="552"/>
      <c r="T28" s="552"/>
      <c r="U28" s="552"/>
      <c r="V28" s="553"/>
      <c r="W28" s="552"/>
      <c r="X28" s="552"/>
      <c r="Y28" s="552"/>
      <c r="Z28" s="552"/>
      <c r="AA28" s="552"/>
      <c r="AB28" s="552"/>
      <c r="AC28" s="552"/>
      <c r="AD28" s="552"/>
      <c r="AE28" s="552"/>
      <c r="AF28" s="552"/>
      <c r="AG28" s="552"/>
      <c r="AH28" s="552"/>
      <c r="AI28" s="552"/>
      <c r="AJ28" s="552"/>
      <c r="AK28" s="552"/>
      <c r="AL28" s="552"/>
      <c r="AM28" s="552"/>
      <c r="AN28" s="552"/>
      <c r="AO28" s="552"/>
      <c r="AP28" s="552"/>
      <c r="AQ28" s="552"/>
      <c r="AR28" s="552"/>
      <c r="AS28" s="552"/>
      <c r="AT28" s="552"/>
      <c r="AU28" s="552"/>
      <c r="AV28" s="552"/>
      <c r="AW28" s="552"/>
      <c r="AX28" s="552"/>
      <c r="AY28" s="552"/>
      <c r="AZ28" s="552"/>
      <c r="BA28" s="552"/>
      <c r="BB28" s="552"/>
      <c r="BC28" s="552"/>
      <c r="BD28" s="552"/>
      <c r="BE28" s="552"/>
      <c r="BF28" s="552"/>
      <c r="BG28" s="552"/>
      <c r="BH28" s="553"/>
      <c r="BI28" s="552"/>
      <c r="BJ28" s="552"/>
    </row>
    <row r="29">
      <c r="A29" s="554" t="s">
        <v>550</v>
      </c>
      <c r="B29" s="555"/>
      <c r="C29" s="556"/>
      <c r="D29" s="555"/>
      <c r="J29" s="555"/>
      <c r="K29" s="555"/>
      <c r="L29" s="555"/>
      <c r="M29" s="555"/>
      <c r="N29" s="555"/>
      <c r="O29" s="555"/>
      <c r="P29" s="556"/>
      <c r="Q29" s="555"/>
      <c r="R29" s="556"/>
      <c r="S29" s="555"/>
      <c r="T29" s="555"/>
      <c r="U29" s="555"/>
      <c r="V29" s="557"/>
      <c r="W29" s="555"/>
      <c r="X29" s="555"/>
      <c r="Y29" s="555"/>
      <c r="Z29" s="555"/>
      <c r="AA29" s="556"/>
      <c r="AB29" s="555"/>
      <c r="AC29" s="555"/>
      <c r="AD29" s="555"/>
      <c r="AE29" s="556"/>
      <c r="AF29" s="555"/>
      <c r="AG29" s="555"/>
      <c r="AH29" s="555"/>
      <c r="AI29" s="555"/>
      <c r="AJ29" s="556"/>
      <c r="AK29" s="555"/>
      <c r="AL29" s="555"/>
      <c r="AM29" s="555"/>
      <c r="AN29" s="556"/>
      <c r="AO29" s="555"/>
      <c r="AP29" s="555"/>
      <c r="AQ29" s="555"/>
      <c r="AR29" s="555"/>
      <c r="AS29" s="555"/>
      <c r="AT29" s="555"/>
      <c r="AU29" s="555"/>
      <c r="AV29" s="555"/>
      <c r="AW29" s="555"/>
      <c r="AX29" s="555"/>
      <c r="AY29" s="555"/>
      <c r="AZ29" s="555"/>
      <c r="BA29" s="555"/>
      <c r="BB29" s="555"/>
      <c r="BC29" s="555"/>
      <c r="BD29" s="555"/>
      <c r="BE29" s="556"/>
      <c r="BF29" s="555"/>
      <c r="BG29" s="555"/>
      <c r="BH29" s="557"/>
      <c r="BI29" s="555"/>
      <c r="BJ29" s="555"/>
    </row>
    <row r="30">
      <c r="A30" s="554" t="s">
        <v>551</v>
      </c>
      <c r="B30" s="555"/>
      <c r="C30" s="555"/>
      <c r="D30" s="555"/>
      <c r="J30" s="555"/>
      <c r="K30" s="555"/>
      <c r="L30" s="555"/>
      <c r="M30" s="555"/>
      <c r="N30" s="555"/>
      <c r="O30" s="555"/>
      <c r="P30" s="556"/>
      <c r="Q30" s="555"/>
      <c r="R30" s="556"/>
      <c r="S30" s="555"/>
      <c r="T30" s="555"/>
      <c r="U30" s="555"/>
      <c r="V30" s="557"/>
      <c r="W30" s="555"/>
      <c r="X30" s="555"/>
      <c r="Y30" s="555"/>
      <c r="Z30" s="555"/>
      <c r="AA30" s="556"/>
      <c r="AB30" s="555"/>
      <c r="AC30" s="555"/>
      <c r="AD30" s="555"/>
      <c r="AE30" s="556"/>
      <c r="AF30" s="555"/>
      <c r="AG30" s="555"/>
      <c r="AH30" s="555"/>
      <c r="AI30" s="555"/>
      <c r="AJ30" s="556"/>
      <c r="AK30" s="555"/>
      <c r="AL30" s="555"/>
      <c r="AM30" s="555"/>
      <c r="AN30" s="556"/>
      <c r="AO30" s="555"/>
      <c r="AP30" s="555"/>
      <c r="AQ30" s="555"/>
      <c r="AR30" s="555"/>
      <c r="AS30" s="555"/>
      <c r="AT30" s="555"/>
      <c r="AU30" s="555"/>
      <c r="AV30" s="555"/>
      <c r="AW30" s="555"/>
      <c r="AX30" s="555"/>
      <c r="AY30" s="555"/>
      <c r="AZ30" s="555"/>
      <c r="BA30" s="555"/>
      <c r="BB30" s="555"/>
      <c r="BC30" s="555"/>
      <c r="BD30" s="555"/>
      <c r="BE30" s="556"/>
      <c r="BF30" s="555"/>
      <c r="BG30" s="555"/>
      <c r="BH30" s="557"/>
      <c r="BI30" s="555"/>
      <c r="BJ30" s="555"/>
    </row>
    <row r="31">
      <c r="A31" s="554" t="s">
        <v>552</v>
      </c>
      <c r="B31" s="555"/>
      <c r="C31" s="555"/>
      <c r="D31" s="555"/>
      <c r="J31" s="555"/>
      <c r="K31" s="555"/>
      <c r="L31" s="555"/>
      <c r="M31" s="555"/>
      <c r="N31" s="555"/>
      <c r="O31" s="555"/>
      <c r="P31" s="556"/>
      <c r="Q31" s="555"/>
      <c r="R31" s="556"/>
      <c r="S31" s="555"/>
      <c r="T31" s="555"/>
      <c r="U31" s="555"/>
      <c r="V31" s="557"/>
      <c r="W31" s="555"/>
      <c r="X31" s="555"/>
      <c r="Y31" s="555"/>
      <c r="Z31" s="555"/>
      <c r="AA31" s="556"/>
      <c r="AB31" s="555"/>
      <c r="AC31" s="555"/>
      <c r="AD31" s="555"/>
      <c r="AE31" s="556"/>
      <c r="AF31" s="555"/>
      <c r="AG31" s="555"/>
      <c r="AH31" s="555"/>
      <c r="AI31" s="555"/>
      <c r="AJ31" s="556"/>
      <c r="AK31" s="555"/>
      <c r="AL31" s="555"/>
      <c r="AM31" s="555"/>
      <c r="AN31" s="556"/>
      <c r="AO31" s="555"/>
      <c r="AP31" s="555"/>
      <c r="AQ31" s="555"/>
      <c r="AR31" s="555"/>
      <c r="AS31" s="555"/>
      <c r="AT31" s="555"/>
      <c r="AU31" s="555"/>
      <c r="AV31" s="555"/>
      <c r="AW31" s="555"/>
      <c r="AX31" s="555"/>
      <c r="AY31" s="555"/>
      <c r="AZ31" s="555"/>
      <c r="BA31" s="555"/>
      <c r="BB31" s="555"/>
      <c r="BC31" s="555"/>
      <c r="BD31" s="555"/>
      <c r="BE31" s="556"/>
      <c r="BF31" s="555"/>
      <c r="BG31" s="555"/>
      <c r="BH31" s="557"/>
      <c r="BI31" s="555"/>
      <c r="BJ31" s="555"/>
    </row>
    <row r="32">
      <c r="A32" s="551" t="s">
        <v>553</v>
      </c>
      <c r="B32" s="561"/>
      <c r="C32" s="561"/>
      <c r="D32" s="561"/>
      <c r="E32" s="562"/>
      <c r="F32" s="562"/>
      <c r="G32" s="562"/>
      <c r="H32" s="562"/>
      <c r="I32" s="562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3"/>
      <c r="W32" s="561"/>
      <c r="X32" s="561"/>
      <c r="Y32" s="561"/>
      <c r="Z32" s="561"/>
      <c r="AA32" s="561"/>
      <c r="AB32" s="561"/>
      <c r="AC32" s="561"/>
      <c r="AD32" s="561"/>
      <c r="AE32" s="561"/>
      <c r="AF32" s="561"/>
      <c r="AG32" s="561"/>
      <c r="AH32" s="561"/>
      <c r="AI32" s="561"/>
      <c r="AJ32" s="561"/>
      <c r="AK32" s="561"/>
      <c r="AL32" s="561"/>
      <c r="AM32" s="561"/>
      <c r="AN32" s="561"/>
      <c r="AO32" s="561"/>
      <c r="AP32" s="561"/>
      <c r="AQ32" s="561"/>
      <c r="AR32" s="561"/>
      <c r="AS32" s="561"/>
      <c r="AT32" s="561"/>
      <c r="AU32" s="561"/>
      <c r="AV32" s="561"/>
      <c r="AW32" s="561"/>
      <c r="AX32" s="561"/>
      <c r="AY32" s="561"/>
      <c r="AZ32" s="561"/>
      <c r="BA32" s="561"/>
      <c r="BB32" s="561"/>
      <c r="BC32" s="561"/>
      <c r="BD32" s="561"/>
      <c r="BE32" s="561"/>
      <c r="BF32" s="561"/>
      <c r="BG32" s="561"/>
      <c r="BH32" s="563"/>
      <c r="BI32" s="561"/>
      <c r="BJ32" s="561"/>
    </row>
    <row r="33">
      <c r="A33" s="554" t="s">
        <v>554</v>
      </c>
      <c r="B33" s="556"/>
      <c r="C33" s="555"/>
      <c r="D33" s="555"/>
      <c r="J33" s="555"/>
      <c r="K33" s="555"/>
      <c r="L33" s="555"/>
      <c r="M33" s="555"/>
      <c r="N33" s="556"/>
      <c r="O33" s="555"/>
      <c r="P33" s="555"/>
      <c r="Q33" s="555"/>
      <c r="R33" s="555"/>
      <c r="S33" s="555"/>
      <c r="T33" s="555"/>
      <c r="U33" s="555"/>
      <c r="V33" s="557"/>
      <c r="W33" s="556"/>
      <c r="X33" s="555"/>
      <c r="Y33" s="555"/>
      <c r="Z33" s="555"/>
      <c r="AA33" s="555"/>
      <c r="AB33" s="555"/>
      <c r="AC33" s="555"/>
      <c r="AD33" s="555"/>
      <c r="AE33" s="556"/>
      <c r="AF33" s="555"/>
      <c r="AG33" s="555"/>
      <c r="AH33" s="555"/>
      <c r="AI33" s="555"/>
      <c r="AJ33" s="555"/>
      <c r="AK33" s="555"/>
      <c r="AL33" s="556"/>
      <c r="AM33" s="555"/>
      <c r="AN33" s="556"/>
      <c r="AO33" s="555"/>
      <c r="AP33" s="555"/>
      <c r="AQ33" s="555"/>
      <c r="AR33" s="555"/>
      <c r="AS33" s="555"/>
      <c r="AT33" s="555"/>
      <c r="AU33" s="555"/>
      <c r="AV33" s="556"/>
      <c r="AW33" s="555"/>
      <c r="AX33" s="555"/>
      <c r="AY33" s="566" t="s">
        <v>555</v>
      </c>
      <c r="AZ33" s="555"/>
      <c r="BA33" s="555"/>
      <c r="BB33" s="555"/>
      <c r="BC33" s="555"/>
      <c r="BD33" s="555"/>
      <c r="BE33" s="555"/>
      <c r="BF33" s="555"/>
      <c r="BG33" s="555"/>
      <c r="BH33" s="557"/>
      <c r="BI33" s="555"/>
      <c r="BJ33" s="555"/>
    </row>
    <row r="34">
      <c r="A34" s="554" t="s">
        <v>556</v>
      </c>
      <c r="B34" s="556"/>
      <c r="C34" s="555"/>
      <c r="D34" s="555"/>
      <c r="J34" s="555"/>
      <c r="K34" s="555"/>
      <c r="L34" s="555"/>
      <c r="M34" s="555"/>
      <c r="N34" s="556"/>
      <c r="O34" s="555"/>
      <c r="P34" s="555"/>
      <c r="Q34" s="555"/>
      <c r="R34" s="555"/>
      <c r="S34" s="555"/>
      <c r="T34" s="555"/>
      <c r="U34" s="555"/>
      <c r="V34" s="557"/>
      <c r="W34" s="556"/>
      <c r="X34" s="555"/>
      <c r="Y34" s="555"/>
      <c r="Z34" s="555"/>
      <c r="AA34" s="555"/>
      <c r="AB34" s="555"/>
      <c r="AC34" s="555"/>
      <c r="AD34" s="555"/>
      <c r="AE34" s="556"/>
      <c r="AF34" s="555"/>
      <c r="AG34" s="555"/>
      <c r="AH34" s="555"/>
      <c r="AI34" s="555"/>
      <c r="AJ34" s="555"/>
      <c r="AK34" s="555"/>
      <c r="AL34" s="556"/>
      <c r="AM34" s="555"/>
      <c r="AN34" s="556"/>
      <c r="AO34" s="555"/>
      <c r="AP34" s="555"/>
      <c r="AQ34" s="555"/>
      <c r="AR34" s="555"/>
      <c r="AS34" s="555"/>
      <c r="AT34" s="555"/>
      <c r="AU34" s="555"/>
      <c r="AV34" s="556"/>
      <c r="AW34" s="555"/>
      <c r="AX34" s="555"/>
      <c r="AY34" s="566" t="s">
        <v>555</v>
      </c>
      <c r="AZ34" s="555"/>
      <c r="BA34" s="555"/>
      <c r="BB34" s="555"/>
      <c r="BC34" s="555"/>
      <c r="BD34" s="555"/>
      <c r="BE34" s="555"/>
      <c r="BF34" s="555"/>
      <c r="BG34" s="555"/>
      <c r="BH34" s="557"/>
      <c r="BI34" s="555"/>
      <c r="BJ34" s="555"/>
    </row>
    <row r="35">
      <c r="A35" s="554" t="s">
        <v>557</v>
      </c>
      <c r="B35" s="556"/>
      <c r="C35" s="555"/>
      <c r="D35" s="555"/>
      <c r="J35" s="555"/>
      <c r="K35" s="555"/>
      <c r="L35" s="555"/>
      <c r="M35" s="555"/>
      <c r="N35" s="556"/>
      <c r="O35" s="555"/>
      <c r="P35" s="555"/>
      <c r="Q35" s="555"/>
      <c r="R35" s="555"/>
      <c r="S35" s="555"/>
      <c r="T35" s="555"/>
      <c r="U35" s="555"/>
      <c r="V35" s="557"/>
      <c r="W35" s="556"/>
      <c r="X35" s="555"/>
      <c r="Y35" s="555"/>
      <c r="Z35" s="555"/>
      <c r="AA35" s="555"/>
      <c r="AB35" s="555"/>
      <c r="AC35" s="555"/>
      <c r="AD35" s="555"/>
      <c r="AE35" s="556"/>
      <c r="AF35" s="555"/>
      <c r="AG35" s="555"/>
      <c r="AH35" s="555"/>
      <c r="AI35" s="555"/>
      <c r="AJ35" s="555"/>
      <c r="AK35" s="555"/>
      <c r="AL35" s="556"/>
      <c r="AM35" s="555"/>
      <c r="AN35" s="556"/>
      <c r="AO35" s="555"/>
      <c r="AP35" s="555"/>
      <c r="AQ35" s="555"/>
      <c r="AR35" s="555"/>
      <c r="AS35" s="555"/>
      <c r="AT35" s="555"/>
      <c r="AU35" s="555"/>
      <c r="AV35" s="556"/>
      <c r="AW35" s="555"/>
      <c r="AX35" s="555"/>
      <c r="AY35" s="566" t="s">
        <v>555</v>
      </c>
      <c r="AZ35" s="555"/>
      <c r="BA35" s="555"/>
      <c r="BB35" s="555"/>
      <c r="BC35" s="555"/>
      <c r="BD35" s="555"/>
      <c r="BE35" s="555"/>
      <c r="BF35" s="555"/>
      <c r="BG35" s="555"/>
      <c r="BH35" s="557"/>
      <c r="BI35" s="555"/>
      <c r="BJ35" s="555"/>
    </row>
    <row r="36">
      <c r="A36" s="551" t="s">
        <v>558</v>
      </c>
      <c r="B36" s="561"/>
      <c r="C36" s="561"/>
      <c r="D36" s="561"/>
      <c r="E36" s="562"/>
      <c r="F36" s="562"/>
      <c r="G36" s="562"/>
      <c r="H36" s="562"/>
      <c r="I36" s="562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3"/>
      <c r="W36" s="561"/>
      <c r="X36" s="561"/>
      <c r="Y36" s="561"/>
      <c r="Z36" s="561"/>
      <c r="AA36" s="561"/>
      <c r="AB36" s="561"/>
      <c r="AC36" s="561"/>
      <c r="AD36" s="561"/>
      <c r="AE36" s="561"/>
      <c r="AF36" s="561"/>
      <c r="AG36" s="561"/>
      <c r="AH36" s="561"/>
      <c r="AI36" s="561"/>
      <c r="AJ36" s="561"/>
      <c r="AK36" s="561"/>
      <c r="AL36" s="561"/>
      <c r="AM36" s="561"/>
      <c r="AN36" s="561"/>
      <c r="AO36" s="561"/>
      <c r="AP36" s="561"/>
      <c r="AQ36" s="561"/>
      <c r="AR36" s="561"/>
      <c r="AS36" s="561"/>
      <c r="AT36" s="561"/>
      <c r="AU36" s="561"/>
      <c r="AV36" s="561"/>
      <c r="AW36" s="561"/>
      <c r="AX36" s="561"/>
      <c r="AY36" s="561"/>
      <c r="AZ36" s="561"/>
      <c r="BA36" s="561"/>
      <c r="BB36" s="561"/>
      <c r="BC36" s="561"/>
      <c r="BD36" s="561"/>
      <c r="BE36" s="561"/>
      <c r="BF36" s="561"/>
      <c r="BG36" s="561"/>
      <c r="BH36" s="563"/>
      <c r="BI36" s="561"/>
      <c r="BJ36" s="561"/>
    </row>
    <row r="37">
      <c r="A37" s="554" t="s">
        <v>556</v>
      </c>
      <c r="B37" s="555"/>
      <c r="C37" s="555"/>
      <c r="D37" s="555"/>
      <c r="J37" s="555"/>
      <c r="K37" s="555"/>
      <c r="L37" s="555"/>
      <c r="M37" s="555"/>
      <c r="N37" s="555"/>
      <c r="O37" s="555"/>
      <c r="P37" s="555"/>
      <c r="Q37" s="555"/>
      <c r="R37" s="555"/>
      <c r="S37" s="555"/>
      <c r="T37" s="555"/>
      <c r="U37" s="555"/>
      <c r="V37" s="557"/>
      <c r="W37" s="555"/>
      <c r="X37" s="555"/>
      <c r="Y37" s="555"/>
      <c r="Z37" s="555"/>
      <c r="AA37" s="555"/>
      <c r="AB37" s="555"/>
      <c r="AC37" s="555"/>
      <c r="AD37" s="555"/>
      <c r="AE37" s="555"/>
      <c r="AF37" s="555"/>
      <c r="AG37" s="555"/>
      <c r="AH37" s="555"/>
      <c r="AI37" s="555"/>
      <c r="AJ37" s="555"/>
      <c r="AK37" s="555"/>
      <c r="AL37" s="555"/>
      <c r="AM37" s="555"/>
      <c r="AN37" s="555"/>
      <c r="AO37" s="555"/>
      <c r="AP37" s="555"/>
      <c r="AQ37" s="555"/>
      <c r="AR37" s="555"/>
      <c r="AS37" s="555"/>
      <c r="AT37" s="555"/>
      <c r="AU37" s="555"/>
      <c r="AV37" s="555"/>
      <c r="AW37" s="555"/>
      <c r="AX37" s="555"/>
      <c r="AY37" s="555"/>
      <c r="AZ37" s="555"/>
      <c r="BA37" s="555"/>
      <c r="BB37" s="555"/>
      <c r="BC37" s="555"/>
      <c r="BD37" s="555"/>
      <c r="BE37" s="555"/>
      <c r="BF37" s="555"/>
      <c r="BG37" s="555"/>
      <c r="BH37" s="557"/>
      <c r="BI37" s="556"/>
      <c r="BJ37" s="555"/>
    </row>
    <row r="38">
      <c r="A38" s="554" t="s">
        <v>557</v>
      </c>
      <c r="B38" s="555"/>
      <c r="C38" s="555"/>
      <c r="D38" s="555"/>
      <c r="J38" s="555"/>
      <c r="K38" s="555"/>
      <c r="L38" s="555"/>
      <c r="M38" s="555"/>
      <c r="N38" s="555"/>
      <c r="O38" s="555"/>
      <c r="P38" s="555"/>
      <c r="Q38" s="555"/>
      <c r="R38" s="555"/>
      <c r="S38" s="555"/>
      <c r="T38" s="555"/>
      <c r="U38" s="555"/>
      <c r="V38" s="557"/>
      <c r="W38" s="555"/>
      <c r="X38" s="555"/>
      <c r="Y38" s="555"/>
      <c r="Z38" s="555"/>
      <c r="AA38" s="555"/>
      <c r="AB38" s="555"/>
      <c r="AC38" s="555"/>
      <c r="AD38" s="555"/>
      <c r="AE38" s="555"/>
      <c r="AF38" s="555"/>
      <c r="AG38" s="555"/>
      <c r="AH38" s="555"/>
      <c r="AI38" s="555"/>
      <c r="AJ38" s="555"/>
      <c r="AK38" s="555"/>
      <c r="AL38" s="555"/>
      <c r="AM38" s="555"/>
      <c r="AN38" s="555"/>
      <c r="AO38" s="555"/>
      <c r="AP38" s="555"/>
      <c r="AQ38" s="555"/>
      <c r="AR38" s="555"/>
      <c r="AS38" s="555"/>
      <c r="AT38" s="555"/>
      <c r="AU38" s="555"/>
      <c r="AV38" s="555"/>
      <c r="AW38" s="555"/>
      <c r="AX38" s="555"/>
      <c r="AY38" s="555"/>
      <c r="AZ38" s="555"/>
      <c r="BA38" s="555"/>
      <c r="BB38" s="555"/>
      <c r="BC38" s="555"/>
      <c r="BD38" s="555"/>
      <c r="BE38" s="555"/>
      <c r="BF38" s="555"/>
      <c r="BG38" s="555"/>
      <c r="BH38" s="557"/>
      <c r="BI38" s="556"/>
      <c r="BJ38" s="555"/>
    </row>
    <row r="39" hidden="1">
      <c r="A39" s="551" t="s">
        <v>559</v>
      </c>
      <c r="B39" s="561"/>
      <c r="C39" s="561"/>
      <c r="D39" s="561"/>
      <c r="E39" s="562"/>
      <c r="F39" s="562"/>
      <c r="G39" s="562"/>
      <c r="H39" s="562"/>
      <c r="I39" s="562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3"/>
      <c r="W39" s="561"/>
      <c r="X39" s="561"/>
      <c r="Y39" s="561"/>
      <c r="Z39" s="561"/>
      <c r="AA39" s="561"/>
      <c r="AB39" s="561"/>
      <c r="AC39" s="561"/>
      <c r="AD39" s="561"/>
      <c r="AE39" s="561"/>
      <c r="AF39" s="561"/>
      <c r="AG39" s="561"/>
      <c r="AH39" s="561"/>
      <c r="AI39" s="561"/>
      <c r="AJ39" s="561"/>
      <c r="AK39" s="561"/>
      <c r="AL39" s="561"/>
      <c r="AM39" s="561"/>
      <c r="AN39" s="561"/>
      <c r="AO39" s="561"/>
      <c r="AP39" s="561"/>
      <c r="AQ39" s="561"/>
      <c r="AR39" s="561"/>
      <c r="AS39" s="561"/>
      <c r="AT39" s="561"/>
      <c r="AU39" s="561"/>
      <c r="AV39" s="561"/>
      <c r="AW39" s="561"/>
      <c r="AX39" s="561"/>
      <c r="AY39" s="561"/>
      <c r="AZ39" s="561"/>
      <c r="BA39" s="561"/>
      <c r="BB39" s="561"/>
      <c r="BC39" s="561"/>
      <c r="BD39" s="561"/>
      <c r="BE39" s="561"/>
      <c r="BF39" s="561"/>
      <c r="BG39" s="561"/>
      <c r="BH39" s="563"/>
      <c r="BI39" s="561"/>
      <c r="BJ39" s="561"/>
    </row>
    <row r="40" hidden="1">
      <c r="A40" s="554" t="s">
        <v>560</v>
      </c>
      <c r="B40" s="555"/>
      <c r="C40" s="555"/>
      <c r="D40" s="555"/>
      <c r="J40" s="555"/>
      <c r="K40" s="555"/>
      <c r="L40" s="555"/>
      <c r="M40" s="555"/>
      <c r="N40" s="556"/>
      <c r="O40" s="555"/>
      <c r="P40" s="556"/>
      <c r="Q40" s="555"/>
      <c r="R40" s="555"/>
      <c r="S40" s="555"/>
      <c r="T40" s="555"/>
      <c r="U40" s="555"/>
      <c r="V40" s="557"/>
      <c r="W40" s="555"/>
      <c r="X40" s="555"/>
      <c r="Y40" s="555"/>
      <c r="Z40" s="555"/>
      <c r="AA40" s="555"/>
      <c r="AB40" s="555"/>
      <c r="AC40" s="555"/>
      <c r="AD40" s="555"/>
      <c r="AE40" s="555"/>
      <c r="AF40" s="555"/>
      <c r="AG40" s="555"/>
      <c r="AH40" s="555"/>
      <c r="AI40" s="555"/>
      <c r="AJ40" s="555"/>
      <c r="AK40" s="555"/>
      <c r="AL40" s="555"/>
      <c r="AM40" s="555"/>
      <c r="AN40" s="555"/>
      <c r="AO40" s="555"/>
      <c r="AP40" s="555"/>
      <c r="AQ40" s="555"/>
      <c r="AR40" s="555"/>
      <c r="AS40" s="555"/>
      <c r="AT40" s="555"/>
      <c r="AU40" s="555"/>
      <c r="AV40" s="555"/>
      <c r="AW40" s="555"/>
      <c r="AX40" s="555"/>
      <c r="AY40" s="555"/>
      <c r="AZ40" s="555"/>
      <c r="BA40" s="555"/>
      <c r="BB40" s="555"/>
      <c r="BC40" s="556"/>
      <c r="BD40" s="555"/>
      <c r="BE40" s="555"/>
      <c r="BF40" s="555"/>
      <c r="BG40" s="555"/>
      <c r="BH40" s="557"/>
      <c r="BI40" s="555"/>
      <c r="BJ40" s="555"/>
    </row>
    <row r="41" hidden="1">
      <c r="A41" s="554" t="s">
        <v>561</v>
      </c>
      <c r="B41" s="555"/>
      <c r="C41" s="555"/>
      <c r="D41" s="555"/>
      <c r="J41" s="555"/>
      <c r="K41" s="555"/>
      <c r="L41" s="555"/>
      <c r="M41" s="555"/>
      <c r="N41" s="556"/>
      <c r="O41" s="555"/>
      <c r="P41" s="556"/>
      <c r="Q41" s="555"/>
      <c r="R41" s="555"/>
      <c r="S41" s="555"/>
      <c r="T41" s="555"/>
      <c r="U41" s="555"/>
      <c r="V41" s="557"/>
      <c r="W41" s="555"/>
      <c r="X41" s="555"/>
      <c r="Y41" s="555"/>
      <c r="Z41" s="555"/>
      <c r="AA41" s="555"/>
      <c r="AB41" s="555"/>
      <c r="AC41" s="555"/>
      <c r="AD41" s="555"/>
      <c r="AE41" s="555"/>
      <c r="AF41" s="555"/>
      <c r="AG41" s="555"/>
      <c r="AH41" s="555"/>
      <c r="AI41" s="555"/>
      <c r="AJ41" s="555"/>
      <c r="AK41" s="555"/>
      <c r="AL41" s="555"/>
      <c r="AM41" s="555"/>
      <c r="AN41" s="555"/>
      <c r="AO41" s="555"/>
      <c r="AP41" s="555"/>
      <c r="AQ41" s="555"/>
      <c r="AR41" s="555"/>
      <c r="AS41" s="555"/>
      <c r="AT41" s="555"/>
      <c r="AU41" s="555"/>
      <c r="AV41" s="555"/>
      <c r="AW41" s="555"/>
      <c r="AX41" s="555"/>
      <c r="AY41" s="555"/>
      <c r="AZ41" s="555"/>
      <c r="BA41" s="555"/>
      <c r="BB41" s="555"/>
      <c r="BC41" s="556"/>
      <c r="BD41" s="555"/>
      <c r="BE41" s="555"/>
      <c r="BF41" s="555"/>
      <c r="BG41" s="555"/>
      <c r="BH41" s="557"/>
      <c r="BI41" s="555"/>
      <c r="BJ41" s="555"/>
    </row>
    <row r="42" hidden="1">
      <c r="A42" s="554" t="s">
        <v>562</v>
      </c>
      <c r="B42" s="555"/>
      <c r="C42" s="555"/>
      <c r="D42" s="555"/>
      <c r="J42" s="555"/>
      <c r="K42" s="555"/>
      <c r="L42" s="555"/>
      <c r="M42" s="555"/>
      <c r="N42" s="556"/>
      <c r="O42" s="555"/>
      <c r="P42" s="556"/>
      <c r="Q42" s="555"/>
      <c r="R42" s="555"/>
      <c r="S42" s="555"/>
      <c r="T42" s="555"/>
      <c r="U42" s="555"/>
      <c r="V42" s="557"/>
      <c r="W42" s="555"/>
      <c r="X42" s="555"/>
      <c r="Y42" s="555"/>
      <c r="Z42" s="555"/>
      <c r="AA42" s="555"/>
      <c r="AB42" s="555"/>
      <c r="AC42" s="555"/>
      <c r="AD42" s="555"/>
      <c r="AE42" s="555"/>
      <c r="AF42" s="555"/>
      <c r="AG42" s="555"/>
      <c r="AH42" s="555"/>
      <c r="AI42" s="555"/>
      <c r="AJ42" s="555"/>
      <c r="AK42" s="555"/>
      <c r="AL42" s="555"/>
      <c r="AM42" s="555"/>
      <c r="AN42" s="555"/>
      <c r="AO42" s="555"/>
      <c r="AP42" s="555"/>
      <c r="AQ42" s="555"/>
      <c r="AR42" s="555"/>
      <c r="AS42" s="555"/>
      <c r="AT42" s="555"/>
      <c r="AU42" s="555"/>
      <c r="AV42" s="555"/>
      <c r="AW42" s="555"/>
      <c r="AX42" s="555"/>
      <c r="AY42" s="555"/>
      <c r="AZ42" s="555"/>
      <c r="BA42" s="555"/>
      <c r="BB42" s="555"/>
      <c r="BC42" s="556"/>
      <c r="BD42" s="555"/>
      <c r="BE42" s="555"/>
      <c r="BF42" s="555"/>
      <c r="BG42" s="555"/>
      <c r="BH42" s="557"/>
      <c r="BI42" s="555"/>
      <c r="BJ42" s="555"/>
    </row>
    <row r="43">
      <c r="A43" s="567" t="s">
        <v>563</v>
      </c>
      <c r="B43" s="552"/>
      <c r="C43" s="552"/>
      <c r="D43" s="552"/>
      <c r="E43" s="111"/>
      <c r="F43" s="111"/>
      <c r="G43" s="111"/>
      <c r="H43" s="111"/>
      <c r="I43" s="111"/>
      <c r="J43" s="552"/>
      <c r="K43" s="552"/>
      <c r="L43" s="552"/>
      <c r="M43" s="552"/>
      <c r="N43" s="552"/>
      <c r="O43" s="552"/>
      <c r="P43" s="552"/>
      <c r="Q43" s="552"/>
      <c r="R43" s="552"/>
      <c r="S43" s="552"/>
      <c r="T43" s="552"/>
      <c r="U43" s="552"/>
      <c r="V43" s="553"/>
      <c r="W43" s="552"/>
      <c r="X43" s="552"/>
      <c r="Y43" s="552"/>
      <c r="Z43" s="552"/>
      <c r="AA43" s="552"/>
      <c r="AB43" s="552"/>
      <c r="AC43" s="552"/>
      <c r="AD43" s="552"/>
      <c r="AE43" s="552"/>
      <c r="AF43" s="552"/>
      <c r="AG43" s="552"/>
      <c r="AH43" s="552"/>
      <c r="AI43" s="552"/>
      <c r="AJ43" s="552"/>
      <c r="AK43" s="552"/>
      <c r="AL43" s="552"/>
      <c r="AM43" s="552"/>
      <c r="AN43" s="552"/>
      <c r="AO43" s="552"/>
      <c r="AP43" s="552"/>
      <c r="AQ43" s="552"/>
      <c r="AR43" s="552"/>
      <c r="AS43" s="552"/>
      <c r="AT43" s="552"/>
      <c r="AU43" s="552"/>
      <c r="AV43" s="552"/>
      <c r="AW43" s="552"/>
      <c r="AX43" s="552"/>
      <c r="AY43" s="552"/>
      <c r="AZ43" s="552"/>
      <c r="BA43" s="552"/>
      <c r="BB43" s="552"/>
      <c r="BC43" s="552"/>
      <c r="BD43" s="552"/>
      <c r="BE43" s="552"/>
      <c r="BF43" s="552"/>
      <c r="BG43" s="552"/>
      <c r="BH43" s="553"/>
      <c r="BI43" s="552"/>
      <c r="BJ43" s="552"/>
    </row>
    <row r="44">
      <c r="A44" s="554" t="s">
        <v>564</v>
      </c>
      <c r="B44" s="555"/>
      <c r="C44" s="555"/>
      <c r="D44" s="555"/>
      <c r="J44" s="555"/>
      <c r="K44" s="555"/>
      <c r="L44" s="555"/>
      <c r="M44" s="555"/>
      <c r="N44" s="555"/>
      <c r="O44" s="555"/>
      <c r="P44" s="555"/>
      <c r="Q44" s="555"/>
      <c r="R44" s="555"/>
      <c r="S44" s="555"/>
      <c r="T44" s="555"/>
      <c r="U44" s="555"/>
      <c r="V44" s="557"/>
      <c r="W44" s="555"/>
      <c r="X44" s="555"/>
      <c r="Y44" s="555"/>
      <c r="Z44" s="555"/>
      <c r="AA44" s="555"/>
      <c r="AB44" s="555"/>
      <c r="AC44" s="555"/>
      <c r="AD44" s="555"/>
      <c r="AE44" s="555"/>
      <c r="AF44" s="555"/>
      <c r="AG44" s="555"/>
      <c r="AH44" s="555"/>
      <c r="AI44" s="555"/>
      <c r="AJ44" s="555"/>
      <c r="AK44" s="555"/>
      <c r="AL44" s="555"/>
      <c r="AM44" s="555"/>
      <c r="AN44" s="555"/>
      <c r="AO44" s="555"/>
      <c r="AP44" s="555"/>
      <c r="AQ44" s="555"/>
      <c r="AR44" s="555"/>
      <c r="AS44" s="555"/>
      <c r="AT44" s="555"/>
      <c r="AU44" s="555"/>
      <c r="AV44" s="555"/>
      <c r="AW44" s="555"/>
      <c r="AX44" s="555"/>
      <c r="AY44" s="555"/>
      <c r="AZ44" s="555"/>
      <c r="BA44" s="555"/>
      <c r="BB44" s="555"/>
      <c r="BC44" s="555"/>
      <c r="BD44" s="555"/>
      <c r="BE44" s="556"/>
      <c r="BF44" s="555"/>
      <c r="BG44" s="555"/>
      <c r="BH44" s="557"/>
      <c r="BI44" s="555"/>
      <c r="BJ44" s="555"/>
    </row>
    <row r="45">
      <c r="A45" s="554" t="s">
        <v>565</v>
      </c>
      <c r="B45" s="555"/>
      <c r="C45" s="555"/>
      <c r="D45" s="555"/>
      <c r="J45" s="555"/>
      <c r="K45" s="555"/>
      <c r="L45" s="555"/>
      <c r="M45" s="555"/>
      <c r="N45" s="555"/>
      <c r="O45" s="555"/>
      <c r="P45" s="555"/>
      <c r="Q45" s="555"/>
      <c r="R45" s="555"/>
      <c r="S45" s="555"/>
      <c r="T45" s="555"/>
      <c r="U45" s="555"/>
      <c r="V45" s="557"/>
      <c r="W45" s="555"/>
      <c r="X45" s="555"/>
      <c r="Y45" s="555"/>
      <c r="Z45" s="555"/>
      <c r="AA45" s="555"/>
      <c r="AB45" s="555"/>
      <c r="AC45" s="555"/>
      <c r="AD45" s="555"/>
      <c r="AE45" s="555"/>
      <c r="AF45" s="555"/>
      <c r="AG45" s="555"/>
      <c r="AH45" s="555"/>
      <c r="AI45" s="555"/>
      <c r="AJ45" s="555"/>
      <c r="AK45" s="555"/>
      <c r="AL45" s="555"/>
      <c r="AM45" s="555"/>
      <c r="AN45" s="555"/>
      <c r="AO45" s="555"/>
      <c r="AP45" s="555"/>
      <c r="AQ45" s="555"/>
      <c r="AR45" s="555"/>
      <c r="AS45" s="555"/>
      <c r="AT45" s="555"/>
      <c r="AU45" s="555"/>
      <c r="AV45" s="555"/>
      <c r="AW45" s="555"/>
      <c r="AX45" s="555"/>
      <c r="AY45" s="555"/>
      <c r="AZ45" s="555"/>
      <c r="BA45" s="555"/>
      <c r="BB45" s="555"/>
      <c r="BC45" s="555"/>
      <c r="BD45" s="555"/>
      <c r="BE45" s="556"/>
      <c r="BF45" s="555"/>
      <c r="BG45" s="555"/>
      <c r="BH45" s="557"/>
      <c r="BI45" s="555"/>
      <c r="BJ45" s="555"/>
    </row>
    <row r="46">
      <c r="A46" s="567" t="s">
        <v>566</v>
      </c>
      <c r="B46" s="552"/>
      <c r="C46" s="552"/>
      <c r="D46" s="552"/>
      <c r="E46" s="111"/>
      <c r="F46" s="111"/>
      <c r="G46" s="111"/>
      <c r="H46" s="111"/>
      <c r="I46" s="111"/>
      <c r="J46" s="552"/>
      <c r="K46" s="552"/>
      <c r="L46" s="552"/>
      <c r="M46" s="552"/>
      <c r="N46" s="552"/>
      <c r="O46" s="552"/>
      <c r="P46" s="552"/>
      <c r="Q46" s="552"/>
      <c r="R46" s="552"/>
      <c r="S46" s="552"/>
      <c r="T46" s="552"/>
      <c r="U46" s="552"/>
      <c r="V46" s="553"/>
      <c r="W46" s="552"/>
      <c r="X46" s="552"/>
      <c r="Y46" s="552"/>
      <c r="Z46" s="552"/>
      <c r="AA46" s="552"/>
      <c r="AB46" s="552"/>
      <c r="AC46" s="552"/>
      <c r="AD46" s="552"/>
      <c r="AE46" s="552"/>
      <c r="AF46" s="552"/>
      <c r="AG46" s="552"/>
      <c r="AH46" s="552"/>
      <c r="AI46" s="552"/>
      <c r="AJ46" s="552"/>
      <c r="AK46" s="552"/>
      <c r="AL46" s="552"/>
      <c r="AM46" s="552"/>
      <c r="AN46" s="552"/>
      <c r="AO46" s="552"/>
      <c r="AP46" s="552"/>
      <c r="AQ46" s="552"/>
      <c r="AR46" s="552"/>
      <c r="AS46" s="552"/>
      <c r="AT46" s="552"/>
      <c r="AU46" s="552"/>
      <c r="AV46" s="552"/>
      <c r="AW46" s="552"/>
      <c r="AX46" s="552"/>
      <c r="AY46" s="552"/>
      <c r="AZ46" s="552"/>
      <c r="BA46" s="552"/>
      <c r="BB46" s="552"/>
      <c r="BC46" s="552"/>
      <c r="BD46" s="552"/>
      <c r="BE46" s="552"/>
      <c r="BF46" s="552"/>
      <c r="BG46" s="552"/>
      <c r="BH46" s="553"/>
      <c r="BI46" s="552"/>
      <c r="BJ46" s="552"/>
    </row>
    <row r="47">
      <c r="A47" s="554" t="s">
        <v>567</v>
      </c>
      <c r="B47" s="555"/>
      <c r="C47" s="555"/>
      <c r="D47" s="555"/>
      <c r="F47" s="560"/>
      <c r="G47" s="560"/>
      <c r="J47" s="555"/>
      <c r="K47" s="556"/>
      <c r="L47" s="555"/>
      <c r="M47" s="555"/>
      <c r="N47" s="556"/>
      <c r="O47" s="556"/>
      <c r="P47" s="555"/>
      <c r="Q47" s="555"/>
      <c r="R47" s="555"/>
      <c r="S47" s="555"/>
      <c r="T47" s="555"/>
      <c r="U47" s="555"/>
      <c r="V47" s="557"/>
      <c r="W47" s="555"/>
      <c r="X47" s="555"/>
      <c r="Y47" s="555"/>
      <c r="Z47" s="555"/>
      <c r="AA47" s="555"/>
      <c r="AB47" s="555"/>
      <c r="AC47" s="555"/>
      <c r="AD47" s="556"/>
      <c r="AE47" s="555"/>
      <c r="AF47" s="555"/>
      <c r="AG47" s="555"/>
      <c r="AH47" s="555"/>
      <c r="AI47" s="555"/>
      <c r="AJ47" s="555"/>
      <c r="AK47" s="555"/>
      <c r="AL47" s="555"/>
      <c r="AM47" s="555"/>
      <c r="AN47" s="555"/>
      <c r="AO47" s="555"/>
      <c r="AP47" s="556"/>
      <c r="AQ47" s="555"/>
      <c r="AR47" s="556"/>
      <c r="AS47" s="555"/>
      <c r="AT47" s="555"/>
      <c r="AU47" s="556"/>
      <c r="AV47" s="556"/>
      <c r="AW47" s="555"/>
      <c r="AX47" s="555"/>
      <c r="AY47" s="555"/>
      <c r="AZ47" s="555"/>
      <c r="BA47" s="555"/>
      <c r="BB47" s="555"/>
      <c r="BC47" s="556"/>
      <c r="BD47" s="555"/>
      <c r="BE47" s="555"/>
      <c r="BF47" s="556"/>
      <c r="BG47" s="555"/>
      <c r="BH47" s="557"/>
      <c r="BI47" s="555"/>
      <c r="BJ47" s="555"/>
    </row>
    <row r="48">
      <c r="A48" s="554" t="s">
        <v>568</v>
      </c>
      <c r="B48" s="555"/>
      <c r="C48" s="555"/>
      <c r="D48" s="555"/>
      <c r="F48" s="560"/>
      <c r="G48" s="560"/>
      <c r="J48" s="555"/>
      <c r="K48" s="556"/>
      <c r="L48" s="555"/>
      <c r="M48" s="555"/>
      <c r="N48" s="556"/>
      <c r="O48" s="556"/>
      <c r="P48" s="555"/>
      <c r="Q48" s="555"/>
      <c r="R48" s="555"/>
      <c r="S48" s="555"/>
      <c r="T48" s="555"/>
      <c r="U48" s="555"/>
      <c r="V48" s="557"/>
      <c r="W48" s="555"/>
      <c r="X48" s="555"/>
      <c r="Y48" s="555"/>
      <c r="Z48" s="555"/>
      <c r="AA48" s="555"/>
      <c r="AB48" s="555"/>
      <c r="AC48" s="555"/>
      <c r="AD48" s="556"/>
      <c r="AE48" s="555"/>
      <c r="AF48" s="555"/>
      <c r="AG48" s="555"/>
      <c r="AH48" s="555"/>
      <c r="AI48" s="555"/>
      <c r="AJ48" s="555"/>
      <c r="AK48" s="555"/>
      <c r="AL48" s="555"/>
      <c r="AM48" s="555"/>
      <c r="AN48" s="555"/>
      <c r="AO48" s="555"/>
      <c r="AP48" s="556"/>
      <c r="AQ48" s="555"/>
      <c r="AR48" s="556"/>
      <c r="AS48" s="555"/>
      <c r="AT48" s="555"/>
      <c r="AU48" s="556"/>
      <c r="AV48" s="556"/>
      <c r="AW48" s="555"/>
      <c r="AX48" s="555"/>
      <c r="AY48" s="555"/>
      <c r="AZ48" s="555"/>
      <c r="BA48" s="555"/>
      <c r="BB48" s="555"/>
      <c r="BC48" s="556"/>
      <c r="BD48" s="555"/>
      <c r="BE48" s="555"/>
      <c r="BF48" s="556"/>
      <c r="BG48" s="555"/>
      <c r="BH48" s="557"/>
      <c r="BI48" s="555"/>
      <c r="BJ48" s="555"/>
    </row>
    <row r="49">
      <c r="A49" s="554" t="s">
        <v>569</v>
      </c>
      <c r="B49" s="555"/>
      <c r="C49" s="555"/>
      <c r="D49" s="555"/>
      <c r="F49" s="560"/>
      <c r="G49" s="560"/>
      <c r="J49" s="555"/>
      <c r="K49" s="556"/>
      <c r="L49" s="555"/>
      <c r="M49" s="555"/>
      <c r="N49" s="556"/>
      <c r="O49" s="556"/>
      <c r="P49" s="555"/>
      <c r="Q49" s="555"/>
      <c r="R49" s="555"/>
      <c r="S49" s="555"/>
      <c r="T49" s="555"/>
      <c r="U49" s="555"/>
      <c r="V49" s="557"/>
      <c r="W49" s="555"/>
      <c r="X49" s="555"/>
      <c r="Y49" s="555"/>
      <c r="Z49" s="555"/>
      <c r="AA49" s="555"/>
      <c r="AB49" s="555"/>
      <c r="AC49" s="555"/>
      <c r="AD49" s="556"/>
      <c r="AE49" s="555"/>
      <c r="AF49" s="555"/>
      <c r="AG49" s="555"/>
      <c r="AH49" s="555"/>
      <c r="AI49" s="555"/>
      <c r="AJ49" s="555"/>
      <c r="AK49" s="555"/>
      <c r="AL49" s="555"/>
      <c r="AM49" s="555"/>
      <c r="AN49" s="555"/>
      <c r="AO49" s="555"/>
      <c r="AP49" s="556"/>
      <c r="AQ49" s="555"/>
      <c r="AR49" s="556"/>
      <c r="AS49" s="555"/>
      <c r="AT49" s="555"/>
      <c r="AU49" s="556"/>
      <c r="AV49" s="556"/>
      <c r="AW49" s="555"/>
      <c r="AX49" s="555"/>
      <c r="AY49" s="555"/>
      <c r="AZ49" s="555"/>
      <c r="BA49" s="555"/>
      <c r="BB49" s="555"/>
      <c r="BC49" s="556"/>
      <c r="BD49" s="555"/>
      <c r="BE49" s="555"/>
      <c r="BF49" s="556"/>
      <c r="BG49" s="555"/>
      <c r="BH49" s="557"/>
      <c r="BI49" s="555"/>
      <c r="BJ49" s="555"/>
    </row>
    <row r="50">
      <c r="A50" s="567" t="s">
        <v>570</v>
      </c>
      <c r="B50" s="552"/>
      <c r="C50" s="552"/>
      <c r="D50" s="552"/>
      <c r="E50" s="111"/>
      <c r="F50" s="111"/>
      <c r="G50" s="111"/>
      <c r="H50" s="111"/>
      <c r="I50" s="111"/>
      <c r="J50" s="552"/>
      <c r="K50" s="552"/>
      <c r="L50" s="552"/>
      <c r="M50" s="552"/>
      <c r="N50" s="552"/>
      <c r="O50" s="552"/>
      <c r="P50" s="552"/>
      <c r="Q50" s="552"/>
      <c r="R50" s="552"/>
      <c r="S50" s="552"/>
      <c r="T50" s="552"/>
      <c r="U50" s="552"/>
      <c r="V50" s="553"/>
      <c r="W50" s="552"/>
      <c r="X50" s="552"/>
      <c r="Y50" s="552"/>
      <c r="Z50" s="552"/>
      <c r="AA50" s="552"/>
      <c r="AB50" s="552"/>
      <c r="AC50" s="552"/>
      <c r="AD50" s="552"/>
      <c r="AE50" s="552"/>
      <c r="AF50" s="552"/>
      <c r="AG50" s="552"/>
      <c r="AH50" s="552"/>
      <c r="AI50" s="552"/>
      <c r="AJ50" s="552"/>
      <c r="AK50" s="552"/>
      <c r="AL50" s="552"/>
      <c r="AM50" s="552"/>
      <c r="AN50" s="552"/>
      <c r="AO50" s="552"/>
      <c r="AP50" s="552"/>
      <c r="AQ50" s="552"/>
      <c r="AR50" s="552"/>
      <c r="AS50" s="552"/>
      <c r="AT50" s="552"/>
      <c r="AU50" s="552"/>
      <c r="AV50" s="552"/>
      <c r="AW50" s="552"/>
      <c r="AX50" s="552"/>
      <c r="AY50" s="552"/>
      <c r="AZ50" s="552"/>
      <c r="BA50" s="552"/>
      <c r="BB50" s="552"/>
      <c r="BC50" s="552"/>
      <c r="BD50" s="552"/>
      <c r="BE50" s="552"/>
      <c r="BF50" s="552"/>
      <c r="BG50" s="552"/>
      <c r="BH50" s="553"/>
      <c r="BI50" s="552"/>
      <c r="BJ50" s="552"/>
    </row>
    <row r="51">
      <c r="A51" s="554" t="s">
        <v>568</v>
      </c>
      <c r="B51" s="555"/>
      <c r="C51" s="555"/>
      <c r="D51" s="555"/>
      <c r="E51" s="560"/>
      <c r="J51" s="555"/>
      <c r="K51" s="555"/>
      <c r="L51" s="555"/>
      <c r="M51" s="555"/>
      <c r="N51" s="555"/>
      <c r="O51" s="555"/>
      <c r="P51" s="555"/>
      <c r="Q51" s="555"/>
      <c r="R51" s="555"/>
      <c r="S51" s="555"/>
      <c r="T51" s="555"/>
      <c r="U51" s="555"/>
      <c r="V51" s="557"/>
      <c r="W51" s="555"/>
      <c r="X51" s="555"/>
      <c r="Y51" s="555"/>
      <c r="Z51" s="556"/>
      <c r="AA51" s="555"/>
      <c r="AB51" s="555"/>
      <c r="AC51" s="555"/>
      <c r="AD51" s="555"/>
      <c r="AE51" s="556"/>
      <c r="AF51" s="555"/>
      <c r="AG51" s="555"/>
      <c r="AH51" s="555"/>
      <c r="AI51" s="555"/>
      <c r="AJ51" s="555"/>
      <c r="AK51" s="555"/>
      <c r="AL51" s="555"/>
      <c r="AM51" s="555"/>
      <c r="AN51" s="556"/>
      <c r="AO51" s="555"/>
      <c r="AP51" s="555"/>
      <c r="AQ51" s="556"/>
      <c r="AR51" s="555"/>
      <c r="AS51" s="555"/>
      <c r="AT51" s="555"/>
      <c r="AU51" s="555"/>
      <c r="AV51" s="555"/>
      <c r="AW51" s="555"/>
      <c r="AX51" s="555"/>
      <c r="AY51" s="555"/>
      <c r="AZ51" s="555"/>
      <c r="BA51" s="555"/>
      <c r="BB51" s="555"/>
      <c r="BC51" s="555"/>
      <c r="BD51" s="555"/>
      <c r="BE51" s="555"/>
      <c r="BF51" s="555"/>
      <c r="BG51" s="555"/>
      <c r="BH51" s="557"/>
      <c r="BI51" s="555"/>
      <c r="BJ51" s="555"/>
    </row>
    <row r="52">
      <c r="A52" s="554" t="s">
        <v>569</v>
      </c>
      <c r="B52" s="555"/>
      <c r="C52" s="555"/>
      <c r="D52" s="555"/>
      <c r="E52" s="560"/>
      <c r="J52" s="555"/>
      <c r="K52" s="555"/>
      <c r="L52" s="555"/>
      <c r="M52" s="555"/>
      <c r="N52" s="555"/>
      <c r="O52" s="555"/>
      <c r="P52" s="555"/>
      <c r="Q52" s="555"/>
      <c r="R52" s="555"/>
      <c r="S52" s="555"/>
      <c r="T52" s="555"/>
      <c r="U52" s="555"/>
      <c r="V52" s="557"/>
      <c r="W52" s="555"/>
      <c r="X52" s="555"/>
      <c r="Y52" s="555"/>
      <c r="Z52" s="556"/>
      <c r="AA52" s="555"/>
      <c r="AB52" s="555"/>
      <c r="AC52" s="555"/>
      <c r="AD52" s="555"/>
      <c r="AE52" s="556"/>
      <c r="AF52" s="555"/>
      <c r="AG52" s="555"/>
      <c r="AH52" s="555"/>
      <c r="AI52" s="555"/>
      <c r="AJ52" s="555"/>
      <c r="AK52" s="555"/>
      <c r="AL52" s="555"/>
      <c r="AM52" s="555"/>
      <c r="AN52" s="556"/>
      <c r="AO52" s="555"/>
      <c r="AP52" s="555"/>
      <c r="AQ52" s="556"/>
      <c r="AR52" s="555"/>
      <c r="AS52" s="555"/>
      <c r="AT52" s="555"/>
      <c r="AU52" s="555"/>
      <c r="AV52" s="555"/>
      <c r="AW52" s="555"/>
      <c r="AX52" s="555"/>
      <c r="AY52" s="555"/>
      <c r="AZ52" s="555"/>
      <c r="BA52" s="555"/>
      <c r="BB52" s="555"/>
      <c r="BC52" s="555"/>
      <c r="BD52" s="555"/>
      <c r="BE52" s="555"/>
      <c r="BF52" s="555"/>
      <c r="BG52" s="555"/>
      <c r="BH52" s="557"/>
      <c r="BI52" s="555"/>
      <c r="BJ52" s="555"/>
    </row>
    <row r="53">
      <c r="A53" s="567" t="s">
        <v>571</v>
      </c>
      <c r="B53" s="552"/>
      <c r="C53" s="552"/>
      <c r="D53" s="552"/>
      <c r="E53" s="111"/>
      <c r="F53" s="111"/>
      <c r="G53" s="111"/>
      <c r="H53" s="111"/>
      <c r="I53" s="111"/>
      <c r="J53" s="552"/>
      <c r="K53" s="552"/>
      <c r="L53" s="552"/>
      <c r="M53" s="552"/>
      <c r="N53" s="552"/>
      <c r="O53" s="552"/>
      <c r="P53" s="552"/>
      <c r="Q53" s="552"/>
      <c r="R53" s="552"/>
      <c r="S53" s="552"/>
      <c r="T53" s="552"/>
      <c r="U53" s="552"/>
      <c r="V53" s="553"/>
      <c r="W53" s="552"/>
      <c r="X53" s="552"/>
      <c r="Y53" s="552"/>
      <c r="Z53" s="552"/>
      <c r="AA53" s="552"/>
      <c r="AB53" s="552"/>
      <c r="AC53" s="552"/>
      <c r="AD53" s="552"/>
      <c r="AE53" s="552"/>
      <c r="AF53" s="552"/>
      <c r="AG53" s="552"/>
      <c r="AH53" s="552"/>
      <c r="AI53" s="552"/>
      <c r="AJ53" s="552"/>
      <c r="AK53" s="552"/>
      <c r="AL53" s="552"/>
      <c r="AM53" s="552"/>
      <c r="AN53" s="552"/>
      <c r="AO53" s="552"/>
      <c r="AP53" s="552"/>
      <c r="AQ53" s="552"/>
      <c r="AR53" s="552"/>
      <c r="AS53" s="552"/>
      <c r="AT53" s="552"/>
      <c r="AU53" s="552"/>
      <c r="AV53" s="552"/>
      <c r="AW53" s="552"/>
      <c r="AX53" s="552"/>
      <c r="AY53" s="552"/>
      <c r="AZ53" s="552"/>
      <c r="BA53" s="552"/>
      <c r="BB53" s="552"/>
      <c r="BC53" s="552"/>
      <c r="BD53" s="552"/>
      <c r="BE53" s="552"/>
      <c r="BF53" s="552"/>
      <c r="BG53" s="552"/>
      <c r="BH53" s="553"/>
      <c r="BI53" s="552"/>
      <c r="BJ53" s="552"/>
    </row>
    <row r="54">
      <c r="A54" s="554" t="s">
        <v>572</v>
      </c>
      <c r="B54" s="555"/>
      <c r="C54" s="555"/>
      <c r="D54" s="555"/>
      <c r="J54" s="555"/>
      <c r="K54" s="555"/>
      <c r="L54" s="555"/>
      <c r="M54" s="555"/>
      <c r="N54" s="556"/>
      <c r="O54" s="555"/>
      <c r="P54" s="555"/>
      <c r="Q54" s="566" t="s">
        <v>531</v>
      </c>
      <c r="R54" s="555"/>
      <c r="S54" s="555"/>
      <c r="T54" s="555"/>
      <c r="U54" s="555"/>
      <c r="V54" s="557"/>
      <c r="W54" s="555"/>
      <c r="X54" s="555"/>
      <c r="Y54" s="555"/>
      <c r="Z54" s="555"/>
      <c r="AA54" s="555"/>
      <c r="AB54" s="555"/>
      <c r="AC54" s="555"/>
      <c r="AD54" s="555"/>
      <c r="AE54" s="555"/>
      <c r="AF54" s="555"/>
      <c r="AG54" s="568" t="s">
        <v>573</v>
      </c>
      <c r="AH54" s="555"/>
      <c r="AI54" s="555"/>
      <c r="AJ54" s="555"/>
      <c r="AK54" s="555"/>
      <c r="AL54" s="555"/>
      <c r="AM54" s="556"/>
      <c r="AN54" s="555"/>
      <c r="AO54" s="555"/>
      <c r="AP54" s="555"/>
      <c r="AQ54" s="555"/>
      <c r="AR54" s="555"/>
      <c r="AS54" s="555"/>
      <c r="AT54" s="555"/>
      <c r="AU54" s="555"/>
      <c r="AV54" s="568" t="s">
        <v>573</v>
      </c>
      <c r="AW54" s="555"/>
      <c r="AX54" s="555"/>
      <c r="AY54" s="555"/>
      <c r="AZ54" s="555"/>
      <c r="BA54" s="555"/>
      <c r="BB54" s="555"/>
      <c r="BC54" s="555"/>
      <c r="BD54" s="555"/>
      <c r="BE54" s="555"/>
      <c r="BF54" s="555"/>
      <c r="BG54" s="555"/>
      <c r="BH54" s="557"/>
      <c r="BI54" s="555"/>
      <c r="BJ54" s="555"/>
    </row>
    <row r="55">
      <c r="A55" s="554" t="s">
        <v>574</v>
      </c>
      <c r="B55" s="555"/>
      <c r="C55" s="555"/>
      <c r="D55" s="555"/>
      <c r="J55" s="555"/>
      <c r="K55" s="555"/>
      <c r="L55" s="555"/>
      <c r="M55" s="555"/>
      <c r="N55" s="556"/>
      <c r="O55" s="555"/>
      <c r="P55" s="555"/>
      <c r="Q55" s="566" t="s">
        <v>531</v>
      </c>
      <c r="R55" s="555"/>
      <c r="S55" s="555"/>
      <c r="T55" s="555"/>
      <c r="U55" s="555"/>
      <c r="V55" s="557"/>
      <c r="W55" s="555"/>
      <c r="X55" s="555"/>
      <c r="Y55" s="555"/>
      <c r="Z55" s="555"/>
      <c r="AA55" s="555"/>
      <c r="AB55" s="555"/>
      <c r="AC55" s="555"/>
      <c r="AD55" s="555"/>
      <c r="AE55" s="555"/>
      <c r="AF55" s="555"/>
      <c r="AG55" s="568" t="s">
        <v>573</v>
      </c>
      <c r="AH55" s="555"/>
      <c r="AI55" s="555"/>
      <c r="AJ55" s="555"/>
      <c r="AK55" s="555"/>
      <c r="AL55" s="555"/>
      <c r="AM55" s="556"/>
      <c r="AN55" s="555"/>
      <c r="AO55" s="555"/>
      <c r="AP55" s="555"/>
      <c r="AQ55" s="555"/>
      <c r="AR55" s="555"/>
      <c r="AS55" s="555"/>
      <c r="AT55" s="555"/>
      <c r="AU55" s="555"/>
      <c r="AV55" s="568" t="s">
        <v>573</v>
      </c>
      <c r="AW55" s="555"/>
      <c r="AX55" s="555"/>
      <c r="AY55" s="555"/>
      <c r="AZ55" s="555"/>
      <c r="BA55" s="555"/>
      <c r="BB55" s="555"/>
      <c r="BC55" s="555"/>
      <c r="BD55" s="555"/>
      <c r="BE55" s="555"/>
      <c r="BF55" s="555"/>
      <c r="BG55" s="555"/>
      <c r="BH55" s="557"/>
      <c r="BI55" s="555"/>
      <c r="BJ55" s="555"/>
    </row>
    <row r="56">
      <c r="A56" s="554" t="s">
        <v>575</v>
      </c>
      <c r="B56" s="555"/>
      <c r="C56" s="555"/>
      <c r="D56" s="555"/>
      <c r="J56" s="555"/>
      <c r="K56" s="555"/>
      <c r="L56" s="555"/>
      <c r="M56" s="555"/>
      <c r="N56" s="556"/>
      <c r="O56" s="555"/>
      <c r="P56" s="555"/>
      <c r="Q56" s="566" t="s">
        <v>531</v>
      </c>
      <c r="R56" s="555"/>
      <c r="S56" s="555"/>
      <c r="T56" s="555"/>
      <c r="U56" s="555"/>
      <c r="V56" s="557"/>
      <c r="W56" s="555"/>
      <c r="X56" s="555"/>
      <c r="Y56" s="555"/>
      <c r="Z56" s="555"/>
      <c r="AA56" s="555"/>
      <c r="AB56" s="555"/>
      <c r="AC56" s="555"/>
      <c r="AD56" s="555"/>
      <c r="AE56" s="555"/>
      <c r="AF56" s="555"/>
      <c r="AG56" s="568" t="s">
        <v>573</v>
      </c>
      <c r="AH56" s="555"/>
      <c r="AI56" s="555"/>
      <c r="AJ56" s="555"/>
      <c r="AK56" s="555"/>
      <c r="AL56" s="555"/>
      <c r="AM56" s="556"/>
      <c r="AN56" s="555"/>
      <c r="AO56" s="555"/>
      <c r="AP56" s="555"/>
      <c r="AQ56" s="555"/>
      <c r="AR56" s="555"/>
      <c r="AS56" s="555"/>
      <c r="AT56" s="555"/>
      <c r="AU56" s="555"/>
      <c r="AV56" s="568" t="s">
        <v>573</v>
      </c>
      <c r="AW56" s="555"/>
      <c r="AX56" s="555"/>
      <c r="AY56" s="555"/>
      <c r="AZ56" s="555"/>
      <c r="BA56" s="555"/>
      <c r="BB56" s="555"/>
      <c r="BC56" s="555"/>
      <c r="BD56" s="555"/>
      <c r="BE56" s="555"/>
      <c r="BF56" s="555"/>
      <c r="BG56" s="555"/>
      <c r="BH56" s="557"/>
      <c r="BI56" s="555"/>
      <c r="BJ56" s="555"/>
    </row>
    <row r="57">
      <c r="A57" s="567" t="s">
        <v>576</v>
      </c>
      <c r="B57" s="552"/>
      <c r="C57" s="552"/>
      <c r="D57" s="552"/>
      <c r="E57" s="111"/>
      <c r="F57" s="111"/>
      <c r="G57" s="111"/>
      <c r="H57" s="111"/>
      <c r="I57" s="111"/>
      <c r="J57" s="552"/>
      <c r="K57" s="552"/>
      <c r="L57" s="552"/>
      <c r="M57" s="552"/>
      <c r="N57" s="552"/>
      <c r="O57" s="552"/>
      <c r="P57" s="552"/>
      <c r="Q57" s="552"/>
      <c r="R57" s="552"/>
      <c r="S57" s="552"/>
      <c r="T57" s="552"/>
      <c r="U57" s="552"/>
      <c r="V57" s="553"/>
      <c r="W57" s="552"/>
      <c r="X57" s="552"/>
      <c r="Y57" s="552"/>
      <c r="Z57" s="552"/>
      <c r="AA57" s="552"/>
      <c r="AB57" s="552"/>
      <c r="AC57" s="552"/>
      <c r="AD57" s="552"/>
      <c r="AE57" s="552"/>
      <c r="AF57" s="552"/>
      <c r="AG57" s="552"/>
      <c r="AH57" s="552"/>
      <c r="AI57" s="552"/>
      <c r="AJ57" s="552"/>
      <c r="AK57" s="552"/>
      <c r="AL57" s="552"/>
      <c r="AM57" s="552"/>
      <c r="AN57" s="552"/>
      <c r="AO57" s="552"/>
      <c r="AP57" s="552"/>
      <c r="AQ57" s="552"/>
      <c r="AR57" s="552"/>
      <c r="AS57" s="552"/>
      <c r="AT57" s="552"/>
      <c r="AU57" s="552"/>
      <c r="AV57" s="552"/>
      <c r="AW57" s="552"/>
      <c r="AX57" s="552"/>
      <c r="AY57" s="552"/>
      <c r="AZ57" s="552"/>
      <c r="BA57" s="552"/>
      <c r="BB57" s="552"/>
      <c r="BC57" s="552"/>
      <c r="BD57" s="552"/>
      <c r="BE57" s="552"/>
      <c r="BF57" s="552"/>
      <c r="BG57" s="552"/>
      <c r="BH57" s="553"/>
      <c r="BI57" s="552"/>
      <c r="BJ57" s="552"/>
    </row>
    <row r="58">
      <c r="A58" s="554" t="s">
        <v>574</v>
      </c>
      <c r="B58" s="555"/>
      <c r="C58" s="555"/>
      <c r="D58" s="555"/>
      <c r="J58" s="555"/>
      <c r="K58" s="555"/>
      <c r="L58" s="555"/>
      <c r="M58" s="555"/>
      <c r="N58" s="555"/>
      <c r="O58" s="555"/>
      <c r="P58" s="555"/>
      <c r="Q58" s="555"/>
      <c r="R58" s="555"/>
      <c r="S58" s="555"/>
      <c r="T58" s="555"/>
      <c r="U58" s="555"/>
      <c r="V58" s="557"/>
      <c r="W58" s="556"/>
      <c r="X58" s="555"/>
      <c r="Y58" s="556"/>
      <c r="Z58" s="555"/>
      <c r="AA58" s="555"/>
      <c r="AB58" s="555"/>
      <c r="AC58" s="555"/>
      <c r="AD58" s="555"/>
      <c r="AE58" s="556"/>
      <c r="AF58" s="555"/>
      <c r="AG58" s="555"/>
      <c r="AH58" s="555"/>
      <c r="AI58" s="555"/>
      <c r="AJ58" s="555"/>
      <c r="AK58" s="555"/>
      <c r="AL58" s="555"/>
      <c r="AM58" s="555"/>
      <c r="AN58" s="555"/>
      <c r="AO58" s="555"/>
      <c r="AP58" s="555"/>
      <c r="AQ58" s="555"/>
      <c r="AR58" s="555"/>
      <c r="AS58" s="555"/>
      <c r="AT58" s="555"/>
      <c r="AU58" s="555"/>
      <c r="AV58" s="555"/>
      <c r="AW58" s="555"/>
      <c r="AX58" s="555"/>
      <c r="AY58" s="556"/>
      <c r="AZ58" s="555"/>
      <c r="BA58" s="555"/>
      <c r="BB58" s="555"/>
      <c r="BC58" s="556"/>
      <c r="BD58" s="555"/>
      <c r="BE58" s="555"/>
      <c r="BF58" s="555"/>
      <c r="BG58" s="555"/>
      <c r="BH58" s="557"/>
      <c r="BI58" s="555"/>
      <c r="BJ58" s="555"/>
    </row>
    <row r="59">
      <c r="A59" s="554" t="s">
        <v>575</v>
      </c>
      <c r="B59" s="555"/>
      <c r="C59" s="555"/>
      <c r="D59" s="555"/>
      <c r="J59" s="555"/>
      <c r="K59" s="555"/>
      <c r="L59" s="555"/>
      <c r="M59" s="555"/>
      <c r="N59" s="555"/>
      <c r="O59" s="555"/>
      <c r="P59" s="555"/>
      <c r="Q59" s="555"/>
      <c r="R59" s="555"/>
      <c r="S59" s="555"/>
      <c r="T59" s="555"/>
      <c r="U59" s="555"/>
      <c r="V59" s="557"/>
      <c r="W59" s="556"/>
      <c r="X59" s="555"/>
      <c r="Y59" s="556"/>
      <c r="Z59" s="555"/>
      <c r="AA59" s="555"/>
      <c r="AB59" s="555"/>
      <c r="AC59" s="555"/>
      <c r="AD59" s="555"/>
      <c r="AE59" s="556"/>
      <c r="AF59" s="555"/>
      <c r="AG59" s="555"/>
      <c r="AH59" s="555"/>
      <c r="AI59" s="555"/>
      <c r="AJ59" s="555"/>
      <c r="AK59" s="555"/>
      <c r="AL59" s="555"/>
      <c r="AM59" s="555"/>
      <c r="AN59" s="555"/>
      <c r="AO59" s="555"/>
      <c r="AP59" s="555"/>
      <c r="AQ59" s="555"/>
      <c r="AR59" s="555"/>
      <c r="AS59" s="555"/>
      <c r="AT59" s="555"/>
      <c r="AU59" s="555"/>
      <c r="AV59" s="555"/>
      <c r="AW59" s="555"/>
      <c r="AX59" s="555"/>
      <c r="AY59" s="556"/>
      <c r="AZ59" s="555"/>
      <c r="BA59" s="555"/>
      <c r="BB59" s="555"/>
      <c r="BC59" s="556"/>
      <c r="BD59" s="555"/>
      <c r="BE59" s="555"/>
      <c r="BF59" s="555"/>
      <c r="BG59" s="555"/>
      <c r="BH59" s="557"/>
      <c r="BI59" s="555"/>
      <c r="BJ59" s="555"/>
    </row>
    <row r="60">
      <c r="A60" s="567" t="s">
        <v>577</v>
      </c>
      <c r="B60" s="552"/>
      <c r="C60" s="552"/>
      <c r="D60" s="552"/>
      <c r="E60" s="111"/>
      <c r="F60" s="111"/>
      <c r="G60" s="111"/>
      <c r="H60" s="111"/>
      <c r="I60" s="111"/>
      <c r="J60" s="552"/>
      <c r="K60" s="552"/>
      <c r="L60" s="552"/>
      <c r="M60" s="552"/>
      <c r="N60" s="552"/>
      <c r="O60" s="552"/>
      <c r="P60" s="552"/>
      <c r="Q60" s="552"/>
      <c r="R60" s="552"/>
      <c r="S60" s="552"/>
      <c r="T60" s="552"/>
      <c r="U60" s="552"/>
      <c r="V60" s="553"/>
      <c r="W60" s="552"/>
      <c r="X60" s="552"/>
      <c r="Y60" s="552"/>
      <c r="Z60" s="552"/>
      <c r="AA60" s="552"/>
      <c r="AB60" s="552"/>
      <c r="AC60" s="552"/>
      <c r="AD60" s="552"/>
      <c r="AE60" s="552"/>
      <c r="AF60" s="552"/>
      <c r="AG60" s="552"/>
      <c r="AH60" s="552"/>
      <c r="AI60" s="552"/>
      <c r="AJ60" s="552"/>
      <c r="AK60" s="552"/>
      <c r="AL60" s="552"/>
      <c r="AM60" s="552"/>
      <c r="AN60" s="552"/>
      <c r="AO60" s="552"/>
      <c r="AP60" s="552"/>
      <c r="AQ60" s="552"/>
      <c r="AR60" s="552"/>
      <c r="AS60" s="552"/>
      <c r="AT60" s="552"/>
      <c r="AU60" s="552"/>
      <c r="AV60" s="552"/>
      <c r="AW60" s="552"/>
      <c r="AX60" s="552"/>
      <c r="AY60" s="552"/>
      <c r="AZ60" s="552"/>
      <c r="BA60" s="552"/>
      <c r="BB60" s="552"/>
      <c r="BC60" s="552"/>
      <c r="BD60" s="552"/>
      <c r="BE60" s="552"/>
      <c r="BF60" s="552"/>
      <c r="BG60" s="552"/>
      <c r="BH60" s="553"/>
      <c r="BI60" s="552"/>
      <c r="BJ60" s="552"/>
    </row>
    <row r="61">
      <c r="A61" s="554" t="s">
        <v>578</v>
      </c>
      <c r="B61" s="555"/>
      <c r="C61" s="555"/>
      <c r="D61" s="555"/>
      <c r="J61" s="555"/>
      <c r="K61" s="555"/>
      <c r="L61" s="555"/>
      <c r="M61" s="555"/>
      <c r="N61" s="555"/>
      <c r="O61" s="555"/>
      <c r="P61" s="555"/>
      <c r="Q61" s="555"/>
      <c r="R61" s="555"/>
      <c r="S61" s="555"/>
      <c r="T61" s="555"/>
      <c r="U61" s="555"/>
      <c r="V61" s="557"/>
      <c r="W61" s="555"/>
      <c r="X61" s="555"/>
      <c r="Y61" s="555"/>
      <c r="Z61" s="556"/>
      <c r="AA61" s="555"/>
      <c r="AB61" s="555"/>
      <c r="AC61" s="555"/>
      <c r="AD61" s="555"/>
      <c r="AE61" s="555"/>
      <c r="AF61" s="555"/>
      <c r="AG61" s="555"/>
      <c r="AH61" s="555"/>
      <c r="AI61" s="555"/>
      <c r="AJ61" s="555"/>
      <c r="AK61" s="555"/>
      <c r="AL61" s="555"/>
      <c r="AM61" s="555"/>
      <c r="AN61" s="555"/>
      <c r="AO61" s="555"/>
      <c r="AP61" s="555"/>
      <c r="AQ61" s="555"/>
      <c r="AR61" s="555"/>
      <c r="AS61" s="555"/>
      <c r="AT61" s="555"/>
      <c r="AU61" s="555"/>
      <c r="AV61" s="555"/>
      <c r="AW61" s="555"/>
      <c r="AX61" s="555"/>
      <c r="AY61" s="555"/>
      <c r="AZ61" s="555"/>
      <c r="BA61" s="555"/>
      <c r="BB61" s="555"/>
      <c r="BC61" s="555"/>
      <c r="BD61" s="555"/>
      <c r="BE61" s="555"/>
      <c r="BF61" s="555"/>
      <c r="BG61" s="555"/>
      <c r="BH61" s="557"/>
      <c r="BI61" s="555"/>
      <c r="BJ61" s="555"/>
    </row>
    <row r="62">
      <c r="A62" s="554" t="s">
        <v>579</v>
      </c>
      <c r="B62" s="555"/>
      <c r="C62" s="555"/>
      <c r="D62" s="555"/>
      <c r="J62" s="555"/>
      <c r="K62" s="555"/>
      <c r="L62" s="555"/>
      <c r="M62" s="555"/>
      <c r="N62" s="555"/>
      <c r="O62" s="555"/>
      <c r="P62" s="555"/>
      <c r="Q62" s="555"/>
      <c r="R62" s="555"/>
      <c r="S62" s="555"/>
      <c r="T62" s="555"/>
      <c r="U62" s="555"/>
      <c r="V62" s="557"/>
      <c r="W62" s="555"/>
      <c r="X62" s="555"/>
      <c r="Y62" s="555"/>
      <c r="Z62" s="556"/>
      <c r="AA62" s="555"/>
      <c r="AB62" s="555"/>
      <c r="AC62" s="555"/>
      <c r="AD62" s="555"/>
      <c r="AE62" s="555"/>
      <c r="AF62" s="555"/>
      <c r="AG62" s="555"/>
      <c r="AH62" s="555"/>
      <c r="AI62" s="555"/>
      <c r="AJ62" s="555"/>
      <c r="AK62" s="555"/>
      <c r="AL62" s="555"/>
      <c r="AM62" s="555"/>
      <c r="AN62" s="555"/>
      <c r="AO62" s="555"/>
      <c r="AP62" s="555"/>
      <c r="AQ62" s="555"/>
      <c r="AR62" s="555"/>
      <c r="AS62" s="555"/>
      <c r="AT62" s="555"/>
      <c r="AU62" s="555"/>
      <c r="AV62" s="555"/>
      <c r="AW62" s="555"/>
      <c r="AX62" s="555"/>
      <c r="AY62" s="555"/>
      <c r="AZ62" s="555"/>
      <c r="BA62" s="555"/>
      <c r="BB62" s="555"/>
      <c r="BC62" s="555"/>
      <c r="BD62" s="555"/>
      <c r="BE62" s="555"/>
      <c r="BF62" s="555"/>
      <c r="BG62" s="555"/>
      <c r="BH62" s="557"/>
      <c r="BI62" s="555"/>
      <c r="BJ62" s="555"/>
    </row>
    <row r="63">
      <c r="A63" s="554" t="s">
        <v>580</v>
      </c>
      <c r="B63" s="555"/>
      <c r="C63" s="555"/>
      <c r="D63" s="555"/>
      <c r="J63" s="555"/>
      <c r="K63" s="555"/>
      <c r="L63" s="555"/>
      <c r="M63" s="555"/>
      <c r="N63" s="555"/>
      <c r="O63" s="555"/>
      <c r="P63" s="555"/>
      <c r="Q63" s="555"/>
      <c r="R63" s="555"/>
      <c r="S63" s="555"/>
      <c r="T63" s="555"/>
      <c r="U63" s="555"/>
      <c r="V63" s="557"/>
      <c r="W63" s="555"/>
      <c r="X63" s="555"/>
      <c r="Y63" s="555"/>
      <c r="Z63" s="556"/>
      <c r="AA63" s="555"/>
      <c r="AB63" s="555"/>
      <c r="AC63" s="555"/>
      <c r="AD63" s="555"/>
      <c r="AE63" s="555"/>
      <c r="AF63" s="555"/>
      <c r="AG63" s="555"/>
      <c r="AH63" s="555"/>
      <c r="AI63" s="555"/>
      <c r="AJ63" s="555"/>
      <c r="AK63" s="555"/>
      <c r="AL63" s="555"/>
      <c r="AM63" s="555"/>
      <c r="AN63" s="555"/>
      <c r="AO63" s="555"/>
      <c r="AP63" s="555"/>
      <c r="AQ63" s="555"/>
      <c r="AR63" s="555"/>
      <c r="AS63" s="555"/>
      <c r="AT63" s="555"/>
      <c r="AU63" s="555"/>
      <c r="AV63" s="555"/>
      <c r="AW63" s="555"/>
      <c r="AX63" s="555"/>
      <c r="AY63" s="555"/>
      <c r="AZ63" s="555"/>
      <c r="BA63" s="555"/>
      <c r="BB63" s="555"/>
      <c r="BC63" s="555"/>
      <c r="BD63" s="555"/>
      <c r="BE63" s="555"/>
      <c r="BF63" s="555"/>
      <c r="BG63" s="555"/>
      <c r="BH63" s="557"/>
      <c r="BI63" s="555"/>
      <c r="BJ63" s="555"/>
    </row>
    <row r="64">
      <c r="A64" s="567" t="s">
        <v>581</v>
      </c>
      <c r="B64" s="552"/>
      <c r="C64" s="552"/>
      <c r="D64" s="552"/>
      <c r="E64" s="111"/>
      <c r="F64" s="111"/>
      <c r="G64" s="111"/>
      <c r="H64" s="111"/>
      <c r="I64" s="111"/>
      <c r="J64" s="552"/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3"/>
      <c r="W64" s="552"/>
      <c r="X64" s="552"/>
      <c r="Y64" s="552"/>
      <c r="Z64" s="552"/>
      <c r="AA64" s="552"/>
      <c r="AB64" s="552"/>
      <c r="AC64" s="552"/>
      <c r="AD64" s="552"/>
      <c r="AE64" s="552"/>
      <c r="AF64" s="552"/>
      <c r="AG64" s="552"/>
      <c r="AH64" s="552"/>
      <c r="AI64" s="552"/>
      <c r="AJ64" s="552"/>
      <c r="AK64" s="552"/>
      <c r="AL64" s="552"/>
      <c r="AM64" s="552"/>
      <c r="AN64" s="552"/>
      <c r="AO64" s="552"/>
      <c r="AP64" s="552"/>
      <c r="AQ64" s="552"/>
      <c r="AR64" s="552"/>
      <c r="AS64" s="552"/>
      <c r="AT64" s="552"/>
      <c r="AU64" s="552"/>
      <c r="AV64" s="552"/>
      <c r="AW64" s="552"/>
      <c r="AX64" s="552"/>
      <c r="AY64" s="552"/>
      <c r="AZ64" s="552"/>
      <c r="BA64" s="552"/>
      <c r="BB64" s="552"/>
      <c r="BC64" s="552"/>
      <c r="BD64" s="552"/>
      <c r="BE64" s="552"/>
      <c r="BF64" s="552"/>
      <c r="BG64" s="552"/>
      <c r="BH64" s="553"/>
      <c r="BI64" s="552"/>
      <c r="BJ64" s="552"/>
    </row>
    <row r="65">
      <c r="A65" s="554" t="s">
        <v>582</v>
      </c>
      <c r="B65" s="555"/>
      <c r="C65" s="555"/>
      <c r="D65" s="555"/>
      <c r="J65" s="555"/>
      <c r="K65" s="555"/>
      <c r="L65" s="555"/>
      <c r="M65" s="555"/>
      <c r="N65" s="555"/>
      <c r="O65" s="555"/>
      <c r="P65" s="555"/>
      <c r="Q65" s="555"/>
      <c r="R65" s="555"/>
      <c r="S65" s="555"/>
      <c r="T65" s="555"/>
      <c r="U65" s="555"/>
      <c r="V65" s="557"/>
      <c r="W65" s="555"/>
      <c r="X65" s="555"/>
      <c r="Y65" s="555"/>
      <c r="Z65" s="555"/>
      <c r="AA65" s="555"/>
      <c r="AB65" s="555"/>
      <c r="AC65" s="555"/>
      <c r="AD65" s="556"/>
      <c r="AE65" s="555"/>
      <c r="AF65" s="555"/>
      <c r="AG65" s="555"/>
      <c r="AH65" s="555"/>
      <c r="AI65" s="555"/>
      <c r="AJ65" s="555"/>
      <c r="AK65" s="555"/>
      <c r="AL65" s="555"/>
      <c r="AM65" s="555"/>
      <c r="AN65" s="555"/>
      <c r="AO65" s="555"/>
      <c r="AP65" s="555"/>
      <c r="AQ65" s="555"/>
      <c r="AR65" s="555"/>
      <c r="AS65" s="555"/>
      <c r="AT65" s="555"/>
      <c r="AU65" s="555"/>
      <c r="AV65" s="555"/>
      <c r="AW65" s="555"/>
      <c r="AX65" s="555"/>
      <c r="AY65" s="555"/>
      <c r="AZ65" s="555"/>
      <c r="BA65" s="555"/>
      <c r="BB65" s="555"/>
      <c r="BC65" s="555"/>
      <c r="BD65" s="555"/>
      <c r="BE65" s="555"/>
      <c r="BF65" s="555"/>
      <c r="BG65" s="555"/>
      <c r="BH65" s="557"/>
      <c r="BI65" s="555"/>
      <c r="BJ65" s="555"/>
    </row>
    <row r="66">
      <c r="A66" s="554" t="s">
        <v>583</v>
      </c>
      <c r="B66" s="555"/>
      <c r="C66" s="555"/>
      <c r="D66" s="555"/>
      <c r="J66" s="555"/>
      <c r="K66" s="555"/>
      <c r="L66" s="555"/>
      <c r="M66" s="555"/>
      <c r="N66" s="555"/>
      <c r="O66" s="555"/>
      <c r="P66" s="555"/>
      <c r="Q66" s="555"/>
      <c r="R66" s="555"/>
      <c r="S66" s="555"/>
      <c r="T66" s="555"/>
      <c r="U66" s="555"/>
      <c r="V66" s="557"/>
      <c r="W66" s="555"/>
      <c r="X66" s="555"/>
      <c r="Y66" s="555"/>
      <c r="Z66" s="555"/>
      <c r="AA66" s="555"/>
      <c r="AB66" s="555"/>
      <c r="AC66" s="555"/>
      <c r="AD66" s="556"/>
      <c r="AE66" s="555"/>
      <c r="AF66" s="555"/>
      <c r="AG66" s="555"/>
      <c r="AH66" s="555"/>
      <c r="AI66" s="555"/>
      <c r="AJ66" s="555"/>
      <c r="AK66" s="555"/>
      <c r="AL66" s="555"/>
      <c r="AM66" s="555"/>
      <c r="AN66" s="555"/>
      <c r="AO66" s="555"/>
      <c r="AP66" s="555"/>
      <c r="AQ66" s="555"/>
      <c r="AR66" s="555"/>
      <c r="AS66" s="555"/>
      <c r="AT66" s="555"/>
      <c r="AU66" s="555"/>
      <c r="AV66" s="555"/>
      <c r="AW66" s="555"/>
      <c r="AX66" s="555"/>
      <c r="AY66" s="555"/>
      <c r="AZ66" s="555"/>
      <c r="BA66" s="555"/>
      <c r="BB66" s="555"/>
      <c r="BC66" s="555"/>
      <c r="BD66" s="555"/>
      <c r="BE66" s="555"/>
      <c r="BF66" s="555"/>
      <c r="BG66" s="555"/>
      <c r="BH66" s="557"/>
      <c r="BI66" s="555"/>
      <c r="BJ66" s="555"/>
    </row>
    <row r="67">
      <c r="A67" s="567" t="s">
        <v>345</v>
      </c>
      <c r="B67" s="552"/>
      <c r="C67" s="552"/>
      <c r="D67" s="552"/>
      <c r="E67" s="111"/>
      <c r="F67" s="111"/>
      <c r="G67" s="111"/>
      <c r="H67" s="111"/>
      <c r="I67" s="111"/>
      <c r="J67" s="552"/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3"/>
      <c r="W67" s="552"/>
      <c r="X67" s="552"/>
      <c r="Y67" s="552"/>
      <c r="Z67" s="552"/>
      <c r="AA67" s="552"/>
      <c r="AB67" s="552"/>
      <c r="AC67" s="552"/>
      <c r="AD67" s="552"/>
      <c r="AE67" s="552"/>
      <c r="AF67" s="552"/>
      <c r="AG67" s="552"/>
      <c r="AH67" s="552"/>
      <c r="AI67" s="552"/>
      <c r="AJ67" s="552"/>
      <c r="AK67" s="552"/>
      <c r="AL67" s="552"/>
      <c r="AM67" s="552"/>
      <c r="AN67" s="552"/>
      <c r="AO67" s="552"/>
      <c r="AP67" s="552"/>
      <c r="AQ67" s="552"/>
      <c r="AR67" s="552"/>
      <c r="AS67" s="552"/>
      <c r="AT67" s="552"/>
      <c r="AU67" s="552"/>
      <c r="AV67" s="552"/>
      <c r="AW67" s="552"/>
      <c r="AX67" s="552"/>
      <c r="AY67" s="552"/>
      <c r="AZ67" s="552"/>
      <c r="BA67" s="552"/>
      <c r="BB67" s="552"/>
      <c r="BC67" s="552"/>
      <c r="BD67" s="552"/>
      <c r="BE67" s="552"/>
      <c r="BF67" s="552"/>
      <c r="BG67" s="552"/>
      <c r="BH67" s="553"/>
      <c r="BI67" s="552"/>
      <c r="BJ67" s="552"/>
    </row>
    <row r="68">
      <c r="A68" s="554" t="s">
        <v>584</v>
      </c>
      <c r="B68" s="556"/>
      <c r="C68" s="555"/>
      <c r="D68" s="555"/>
      <c r="J68" s="555"/>
      <c r="K68" s="555"/>
      <c r="L68" s="555"/>
      <c r="M68" s="555"/>
      <c r="N68" s="555"/>
      <c r="O68" s="556"/>
      <c r="P68" s="555"/>
      <c r="Q68" s="555"/>
      <c r="R68" s="555"/>
      <c r="S68" s="555"/>
      <c r="T68" s="555"/>
      <c r="U68" s="555"/>
      <c r="V68" s="557"/>
      <c r="W68" s="555"/>
      <c r="X68" s="555"/>
      <c r="Y68" s="555"/>
      <c r="Z68" s="555"/>
      <c r="AA68" s="555"/>
      <c r="AB68" s="555"/>
      <c r="AC68" s="555"/>
      <c r="AD68" s="556"/>
      <c r="AE68" s="556"/>
      <c r="AF68" s="555"/>
      <c r="AG68" s="555"/>
      <c r="AH68" s="555"/>
      <c r="AI68" s="555"/>
      <c r="AJ68" s="555"/>
      <c r="AK68" s="556"/>
      <c r="AL68" s="555"/>
      <c r="AM68" s="555"/>
      <c r="AN68" s="556"/>
      <c r="AO68" s="555"/>
      <c r="AP68" s="555"/>
      <c r="AQ68" s="555"/>
      <c r="AR68" s="555"/>
      <c r="AS68" s="555"/>
      <c r="AT68" s="555"/>
      <c r="AU68" s="555"/>
      <c r="AV68" s="555"/>
      <c r="AW68" s="555"/>
      <c r="AX68" s="555"/>
      <c r="AY68" s="555"/>
      <c r="AZ68" s="555"/>
      <c r="BA68" s="555"/>
      <c r="BB68" s="555"/>
      <c r="BC68" s="555"/>
      <c r="BD68" s="555"/>
      <c r="BE68" s="555"/>
      <c r="BF68" s="555"/>
      <c r="BG68" s="555"/>
      <c r="BH68" s="569"/>
      <c r="BI68" s="555"/>
      <c r="BJ68" s="555"/>
    </row>
    <row r="69">
      <c r="A69" s="554" t="s">
        <v>585</v>
      </c>
      <c r="B69" s="556"/>
      <c r="C69" s="555"/>
      <c r="D69" s="555"/>
      <c r="J69" s="555"/>
      <c r="K69" s="555"/>
      <c r="L69" s="555"/>
      <c r="M69" s="555"/>
      <c r="N69" s="555"/>
      <c r="O69" s="556"/>
      <c r="P69" s="555"/>
      <c r="Q69" s="555"/>
      <c r="R69" s="555"/>
      <c r="S69" s="555"/>
      <c r="T69" s="555"/>
      <c r="U69" s="555"/>
      <c r="V69" s="557"/>
      <c r="W69" s="555"/>
      <c r="X69" s="555"/>
      <c r="Y69" s="555"/>
      <c r="Z69" s="555"/>
      <c r="AA69" s="555"/>
      <c r="AB69" s="555"/>
      <c r="AC69" s="555"/>
      <c r="AD69" s="556"/>
      <c r="AE69" s="556"/>
      <c r="AF69" s="555"/>
      <c r="AG69" s="555"/>
      <c r="AH69" s="555"/>
      <c r="AI69" s="555"/>
      <c r="AJ69" s="555"/>
      <c r="AK69" s="556"/>
      <c r="AL69" s="555"/>
      <c r="AM69" s="555"/>
      <c r="AN69" s="556"/>
      <c r="AO69" s="555"/>
      <c r="AP69" s="555"/>
      <c r="AQ69" s="555"/>
      <c r="AR69" s="555"/>
      <c r="AS69" s="555"/>
      <c r="AT69" s="555"/>
      <c r="AU69" s="555"/>
      <c r="AV69" s="555"/>
      <c r="AW69" s="555"/>
      <c r="AX69" s="555"/>
      <c r="AY69" s="555"/>
      <c r="AZ69" s="555"/>
      <c r="BA69" s="555"/>
      <c r="BB69" s="555"/>
      <c r="BC69" s="555"/>
      <c r="BD69" s="555"/>
      <c r="BE69" s="555"/>
      <c r="BF69" s="555"/>
      <c r="BG69" s="555"/>
      <c r="BH69" s="569"/>
      <c r="BI69" s="555"/>
      <c r="BJ69" s="555"/>
    </row>
    <row r="70">
      <c r="A70" s="554" t="s">
        <v>586</v>
      </c>
      <c r="B70" s="556"/>
      <c r="C70" s="555"/>
      <c r="D70" s="555"/>
      <c r="J70" s="555"/>
      <c r="K70" s="555"/>
      <c r="L70" s="555"/>
      <c r="M70" s="555"/>
      <c r="N70" s="555"/>
      <c r="O70" s="556"/>
      <c r="P70" s="555"/>
      <c r="Q70" s="555"/>
      <c r="R70" s="555"/>
      <c r="S70" s="555"/>
      <c r="T70" s="555"/>
      <c r="U70" s="555"/>
      <c r="V70" s="557"/>
      <c r="W70" s="555"/>
      <c r="X70" s="555"/>
      <c r="Y70" s="555"/>
      <c r="Z70" s="555"/>
      <c r="AA70" s="555"/>
      <c r="AB70" s="555"/>
      <c r="AC70" s="555"/>
      <c r="AD70" s="556"/>
      <c r="AE70" s="556"/>
      <c r="AF70" s="555"/>
      <c r="AG70" s="555"/>
      <c r="AH70" s="555"/>
      <c r="AI70" s="555"/>
      <c r="AJ70" s="555"/>
      <c r="AK70" s="556"/>
      <c r="AL70" s="555"/>
      <c r="AM70" s="555"/>
      <c r="AN70" s="556"/>
      <c r="AO70" s="555"/>
      <c r="AP70" s="555"/>
      <c r="AQ70" s="555"/>
      <c r="AR70" s="555"/>
      <c r="AS70" s="555"/>
      <c r="AT70" s="555"/>
      <c r="AU70" s="555"/>
      <c r="AV70" s="555"/>
      <c r="AW70" s="555"/>
      <c r="AX70" s="555"/>
      <c r="AY70" s="555"/>
      <c r="AZ70" s="555"/>
      <c r="BA70" s="555"/>
      <c r="BB70" s="555"/>
      <c r="BC70" s="555"/>
      <c r="BD70" s="555"/>
      <c r="BE70" s="555"/>
      <c r="BF70" s="555"/>
      <c r="BG70" s="555"/>
      <c r="BH70" s="569"/>
      <c r="BI70" s="555"/>
      <c r="BJ70" s="555"/>
    </row>
    <row r="71">
      <c r="A71" s="570"/>
      <c r="B71" s="552"/>
      <c r="C71" s="552"/>
      <c r="D71" s="552"/>
      <c r="E71" s="111"/>
      <c r="F71" s="111"/>
      <c r="G71" s="111"/>
      <c r="H71" s="111"/>
      <c r="I71" s="111"/>
      <c r="J71" s="552"/>
      <c r="K71" s="552"/>
      <c r="L71" s="552"/>
      <c r="M71" s="552"/>
      <c r="N71" s="552"/>
      <c r="O71" s="552"/>
      <c r="P71" s="552"/>
      <c r="Q71" s="552"/>
      <c r="R71" s="552"/>
      <c r="S71" s="552"/>
      <c r="T71" s="552"/>
      <c r="U71" s="552"/>
      <c r="V71" s="553"/>
      <c r="W71" s="552"/>
      <c r="X71" s="552"/>
      <c r="Y71" s="552"/>
      <c r="Z71" s="552"/>
      <c r="AA71" s="552"/>
      <c r="AB71" s="552"/>
      <c r="AC71" s="552"/>
      <c r="AD71" s="552"/>
      <c r="AE71" s="552"/>
      <c r="AF71" s="552"/>
      <c r="AG71" s="552"/>
      <c r="AH71" s="552"/>
      <c r="AI71" s="552"/>
      <c r="AJ71" s="552"/>
      <c r="AK71" s="552"/>
      <c r="AL71" s="552"/>
      <c r="AM71" s="552"/>
      <c r="AN71" s="552"/>
      <c r="AO71" s="552"/>
      <c r="AP71" s="552"/>
      <c r="AQ71" s="552"/>
      <c r="AR71" s="552"/>
      <c r="AS71" s="552"/>
      <c r="AT71" s="552"/>
      <c r="AU71" s="552"/>
      <c r="AV71" s="552"/>
      <c r="AW71" s="552"/>
      <c r="AX71" s="552"/>
      <c r="AY71" s="552"/>
      <c r="AZ71" s="552"/>
      <c r="BA71" s="552"/>
      <c r="BB71" s="552"/>
      <c r="BC71" s="552"/>
      <c r="BD71" s="552"/>
      <c r="BE71" s="552"/>
      <c r="BF71" s="552"/>
      <c r="BG71" s="552"/>
      <c r="BH71" s="571"/>
      <c r="BI71" s="552"/>
      <c r="BJ71" s="552"/>
    </row>
    <row r="72">
      <c r="A72" s="572">
        <v>2014.0</v>
      </c>
      <c r="B72" s="573"/>
      <c r="C72" s="573"/>
      <c r="D72" s="573"/>
      <c r="E72" s="1"/>
      <c r="F72" s="1"/>
      <c r="G72" s="1"/>
      <c r="H72" s="1"/>
      <c r="I72" s="1"/>
      <c r="J72" s="573"/>
      <c r="K72" s="573"/>
      <c r="L72" s="573"/>
      <c r="M72" s="573"/>
      <c r="N72" s="573"/>
      <c r="O72" s="573"/>
      <c r="P72" s="573"/>
      <c r="Q72" s="573"/>
      <c r="R72" s="573"/>
      <c r="S72" s="573"/>
      <c r="T72" s="573"/>
      <c r="U72" s="573"/>
      <c r="V72" s="574"/>
      <c r="W72" s="573"/>
      <c r="X72" s="573"/>
      <c r="Y72" s="573"/>
      <c r="Z72" s="573"/>
      <c r="AA72" s="573"/>
      <c r="AB72" s="573"/>
      <c r="AC72" s="573"/>
      <c r="AD72" s="573"/>
      <c r="AE72" s="573"/>
      <c r="AF72" s="573"/>
      <c r="AG72" s="573"/>
      <c r="AH72" s="573"/>
      <c r="AI72" s="573"/>
      <c r="AJ72" s="573"/>
      <c r="AK72" s="573"/>
      <c r="AL72" s="573"/>
      <c r="AM72" s="573"/>
      <c r="AN72" s="573"/>
      <c r="AO72" s="573"/>
      <c r="AP72" s="573"/>
      <c r="AQ72" s="573"/>
      <c r="AR72" s="573"/>
      <c r="AS72" s="573"/>
      <c r="AT72" s="573"/>
      <c r="AU72" s="573"/>
      <c r="AV72" s="573"/>
      <c r="AW72" s="573"/>
      <c r="AX72" s="573"/>
      <c r="AY72" s="573"/>
      <c r="AZ72" s="573"/>
      <c r="BA72" s="573"/>
      <c r="BB72" s="573"/>
      <c r="BC72" s="573"/>
      <c r="BD72" s="573"/>
      <c r="BE72" s="573"/>
      <c r="BF72" s="573"/>
      <c r="BG72" s="573"/>
      <c r="BH72" s="575"/>
      <c r="BI72" s="573"/>
      <c r="BJ72" s="573"/>
    </row>
    <row r="73">
      <c r="A73" s="576" t="s">
        <v>587</v>
      </c>
      <c r="B73" s="552"/>
      <c r="C73" s="552"/>
      <c r="D73" s="552"/>
      <c r="E73" s="111"/>
      <c r="F73" s="111"/>
      <c r="G73" s="111"/>
      <c r="H73" s="111"/>
      <c r="I73" s="111"/>
      <c r="J73" s="552"/>
      <c r="K73" s="552"/>
      <c r="L73" s="552"/>
      <c r="M73" s="552"/>
      <c r="N73" s="552"/>
      <c r="O73" s="552"/>
      <c r="P73" s="552"/>
      <c r="Q73" s="552"/>
      <c r="R73" s="552"/>
      <c r="S73" s="552"/>
      <c r="T73" s="552"/>
      <c r="U73" s="552"/>
      <c r="V73" s="553"/>
      <c r="W73" s="556"/>
      <c r="X73" s="552"/>
      <c r="Y73" s="552"/>
      <c r="Z73" s="552"/>
      <c r="AA73" s="552"/>
      <c r="AB73" s="552"/>
      <c r="AC73" s="552"/>
      <c r="AD73" s="552"/>
      <c r="AE73" s="552"/>
      <c r="AF73" s="552"/>
      <c r="AG73" s="552"/>
      <c r="AH73" s="552"/>
      <c r="AI73" s="552"/>
      <c r="AJ73" s="552"/>
      <c r="AK73" s="552"/>
      <c r="AL73" s="552"/>
      <c r="AM73" s="552"/>
      <c r="AN73" s="552"/>
      <c r="AO73" s="552"/>
      <c r="AP73" s="552"/>
      <c r="AQ73" s="552"/>
      <c r="AR73" s="552"/>
      <c r="AS73" s="552"/>
      <c r="AT73" s="552"/>
      <c r="AU73" s="552"/>
      <c r="AV73" s="552"/>
      <c r="AW73" s="552"/>
      <c r="AX73" s="552"/>
      <c r="AY73" s="552"/>
      <c r="AZ73" s="552"/>
      <c r="BA73" s="552"/>
      <c r="BB73" s="552"/>
      <c r="BC73" s="552"/>
      <c r="BD73" s="552"/>
      <c r="BE73" s="552"/>
      <c r="BF73" s="552"/>
      <c r="BG73" s="552"/>
      <c r="BH73" s="571"/>
      <c r="BI73" s="552"/>
      <c r="BJ73" s="552"/>
    </row>
    <row r="74">
      <c r="A74" s="577" t="s">
        <v>588</v>
      </c>
      <c r="B74" s="578"/>
      <c r="C74" s="578"/>
      <c r="D74" s="578"/>
      <c r="E74" s="559"/>
      <c r="F74" s="559"/>
      <c r="G74" s="559"/>
      <c r="H74" s="559"/>
      <c r="I74" s="559"/>
      <c r="J74" s="578"/>
      <c r="K74" s="578"/>
      <c r="L74" s="578"/>
      <c r="M74" s="578"/>
      <c r="N74" s="578"/>
      <c r="O74" s="578"/>
      <c r="P74" s="578"/>
      <c r="Q74" s="578"/>
      <c r="R74" s="578"/>
      <c r="S74" s="578"/>
      <c r="T74" s="578"/>
      <c r="U74" s="578"/>
      <c r="V74" s="579"/>
      <c r="W74" s="578"/>
      <c r="X74" s="578"/>
      <c r="Y74" s="578"/>
      <c r="Z74" s="578"/>
      <c r="AA74" s="578"/>
      <c r="AB74" s="578"/>
      <c r="AC74" s="578"/>
      <c r="AD74" s="578"/>
      <c r="AE74" s="556"/>
      <c r="AF74" s="578"/>
      <c r="AG74" s="578"/>
      <c r="AH74" s="578"/>
      <c r="AI74" s="578"/>
      <c r="AJ74" s="578"/>
      <c r="AK74" s="578"/>
      <c r="AL74" s="578"/>
      <c r="AM74" s="578"/>
      <c r="AN74" s="578"/>
      <c r="AO74" s="578"/>
      <c r="AP74" s="578"/>
      <c r="AQ74" s="578"/>
      <c r="AR74" s="578"/>
      <c r="AS74" s="578"/>
      <c r="AT74" s="578"/>
      <c r="AU74" s="578"/>
      <c r="AV74" s="578"/>
      <c r="AW74" s="578"/>
      <c r="AX74" s="578"/>
      <c r="AY74" s="578"/>
      <c r="AZ74" s="578"/>
      <c r="BA74" s="578"/>
      <c r="BB74" s="578"/>
      <c r="BC74" s="578"/>
      <c r="BD74" s="578"/>
      <c r="BE74" s="578"/>
      <c r="BF74" s="578"/>
      <c r="BG74" s="578"/>
      <c r="BH74" s="580"/>
      <c r="BI74" s="578"/>
      <c r="BJ74" s="578"/>
    </row>
    <row r="75">
      <c r="A75" s="581"/>
      <c r="B75" s="578"/>
      <c r="C75" s="578"/>
      <c r="D75" s="578"/>
      <c r="E75" s="559"/>
      <c r="F75" s="559"/>
      <c r="G75" s="559"/>
      <c r="H75" s="559"/>
      <c r="I75" s="559"/>
      <c r="J75" s="578"/>
      <c r="K75" s="578"/>
      <c r="L75" s="578"/>
      <c r="M75" s="578"/>
      <c r="N75" s="578"/>
      <c r="O75" s="578"/>
      <c r="P75" s="578"/>
      <c r="Q75" s="578"/>
      <c r="R75" s="578"/>
      <c r="S75" s="578"/>
      <c r="T75" s="578"/>
      <c r="U75" s="578"/>
      <c r="V75" s="579"/>
      <c r="W75" s="578"/>
      <c r="X75" s="578"/>
      <c r="Y75" s="578"/>
      <c r="Z75" s="578"/>
      <c r="AA75" s="578"/>
      <c r="AB75" s="578"/>
      <c r="AC75" s="578"/>
      <c r="AD75" s="578"/>
      <c r="AE75" s="578"/>
      <c r="AF75" s="578"/>
      <c r="AG75" s="578"/>
      <c r="AH75" s="578"/>
      <c r="AI75" s="578"/>
      <c r="AJ75" s="578"/>
      <c r="AK75" s="578"/>
      <c r="AL75" s="578"/>
      <c r="AM75" s="578"/>
      <c r="AN75" s="578"/>
      <c r="AO75" s="578"/>
      <c r="AP75" s="578"/>
      <c r="AQ75" s="578"/>
      <c r="AR75" s="578"/>
      <c r="AS75" s="578"/>
      <c r="AT75" s="578"/>
      <c r="AU75" s="578"/>
      <c r="AV75" s="578"/>
      <c r="AW75" s="578"/>
      <c r="AX75" s="578"/>
      <c r="AY75" s="578"/>
      <c r="AZ75" s="578"/>
      <c r="BA75" s="578"/>
      <c r="BB75" s="578"/>
      <c r="BC75" s="578"/>
      <c r="BD75" s="578"/>
      <c r="BE75" s="578"/>
      <c r="BF75" s="578"/>
      <c r="BG75" s="578"/>
      <c r="BH75" s="580"/>
      <c r="BI75" s="578"/>
      <c r="BJ75" s="578"/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19.57"/>
    <col customWidth="1" min="2" max="2" width="10.0"/>
    <col customWidth="1" min="3" max="3" width="7.86"/>
    <col customWidth="1" min="4" max="4" width="7.71"/>
    <col customWidth="1" min="5" max="5" width="6.57"/>
    <col customWidth="1" min="6" max="6" width="7.71"/>
    <col customWidth="1" min="7" max="7" width="6.43"/>
    <col customWidth="1" min="8" max="8" width="7.57"/>
    <col customWidth="1" min="9" max="9" width="8.71"/>
    <col customWidth="1" min="10" max="10" width="6.71"/>
    <col customWidth="1" min="11" max="11" width="7.71"/>
    <col customWidth="1" min="12" max="12" width="5.57"/>
    <col customWidth="1" min="13" max="13" width="6.14"/>
    <col customWidth="1" min="14" max="14" width="7.0"/>
    <col customWidth="1" min="15" max="15" width="6.71"/>
    <col customWidth="1" min="16" max="16" width="7.57"/>
    <col customWidth="1" min="17" max="17" width="9.29"/>
    <col customWidth="1" min="18" max="18" width="8.29"/>
    <col customWidth="1" min="19" max="19" width="6.57"/>
    <col customWidth="1" min="20" max="20" width="7.43"/>
    <col customWidth="1" min="21" max="21" width="7.29"/>
    <col customWidth="1" min="22" max="22" width="5.71"/>
    <col customWidth="1" min="23" max="23" width="5.29"/>
    <col customWidth="1" min="24" max="24" width="6.43"/>
    <col customWidth="1" min="25" max="25" width="6.86"/>
    <col customWidth="1" min="26" max="26" width="6.29"/>
    <col customWidth="1" min="27" max="27" width="6.14"/>
    <col customWidth="1" min="28" max="28" width="8.0"/>
    <col customWidth="1" min="29" max="29" width="4.86"/>
    <col customWidth="1" min="30" max="30" width="6.43"/>
    <col customWidth="1" min="31" max="31" width="5.14"/>
    <col customWidth="1" min="32" max="32" width="8.43"/>
    <col customWidth="1" min="33" max="33" width="7.29"/>
    <col customWidth="1" min="34" max="34" width="7.86"/>
    <col customWidth="1" min="35" max="35" width="6.71"/>
    <col customWidth="1" min="36" max="36" width="5.29"/>
    <col customWidth="1" min="37" max="38" width="7.57"/>
    <col customWidth="1" min="39" max="39" width="7.29"/>
    <col customWidth="1" min="40" max="40" width="6.14"/>
    <col customWidth="1" min="41" max="41" width="7.43"/>
    <col customWidth="1" min="42" max="42" width="6.14"/>
    <col customWidth="1" min="43" max="43" width="5.71"/>
    <col customWidth="1" min="44" max="44" width="7.43"/>
    <col customWidth="1" min="45" max="45" width="7.29"/>
    <col customWidth="1" min="46" max="46" width="4.86"/>
    <col customWidth="1" min="47" max="47" width="6.0"/>
    <col customWidth="1" min="48" max="48" width="5.57"/>
    <col customWidth="1" min="49" max="49" width="9.14"/>
    <col customWidth="1" min="50" max="50" width="5.29"/>
    <col customWidth="1" min="51" max="51" width="6.43"/>
    <col customWidth="1" min="52" max="52" width="10.29"/>
    <col customWidth="1" min="53" max="53" width="6.29"/>
    <col customWidth="1" min="54" max="54" width="7.86"/>
    <col customWidth="1" min="55" max="55" width="6.14"/>
    <col customWidth="1" min="56" max="56" width="12.57"/>
    <col customWidth="1" min="57" max="58" width="8.0"/>
    <col customWidth="1" min="59" max="59" width="6.86"/>
    <col customWidth="1" min="60" max="60" width="8.29"/>
    <col customWidth="1" min="61" max="61" width="6.0"/>
    <col customWidth="1" min="62" max="62" width="6.14"/>
    <col customWidth="1" min="63" max="63" width="6.71"/>
  </cols>
  <sheetData>
    <row r="1">
      <c r="A1" s="548" t="s">
        <v>130</v>
      </c>
      <c r="B1" s="549" t="s">
        <v>131</v>
      </c>
      <c r="C1" s="549" t="s">
        <v>134</v>
      </c>
      <c r="D1" s="549" t="s">
        <v>135</v>
      </c>
      <c r="E1" s="549" t="s">
        <v>136</v>
      </c>
      <c r="F1" s="549" t="s">
        <v>138</v>
      </c>
      <c r="G1" s="549" t="s">
        <v>589</v>
      </c>
      <c r="H1" s="549" t="s">
        <v>140</v>
      </c>
      <c r="I1" s="549" t="s">
        <v>141</v>
      </c>
      <c r="J1" s="549" t="s">
        <v>144</v>
      </c>
      <c r="K1" s="549" t="s">
        <v>145</v>
      </c>
      <c r="L1" s="549" t="s">
        <v>146</v>
      </c>
      <c r="M1" s="549" t="s">
        <v>147</v>
      </c>
      <c r="N1" s="549" t="s">
        <v>150</v>
      </c>
      <c r="O1" s="549" t="s">
        <v>151</v>
      </c>
      <c r="P1" s="549" t="s">
        <v>152</v>
      </c>
      <c r="Q1" s="549" t="s">
        <v>153</v>
      </c>
      <c r="R1" s="549" t="s">
        <v>156</v>
      </c>
      <c r="S1" s="549" t="s">
        <v>157</v>
      </c>
      <c r="T1" s="549" t="s">
        <v>158</v>
      </c>
      <c r="U1" s="549" t="s">
        <v>159</v>
      </c>
      <c r="V1" s="549" t="s">
        <v>160</v>
      </c>
      <c r="W1" s="550" t="s">
        <v>161</v>
      </c>
      <c r="X1" s="549" t="s">
        <v>163</v>
      </c>
      <c r="Y1" s="549" t="s">
        <v>164</v>
      </c>
      <c r="Z1" s="549" t="s">
        <v>165</v>
      </c>
      <c r="AA1" s="549" t="s">
        <v>168</v>
      </c>
      <c r="AB1" s="549" t="s">
        <v>169</v>
      </c>
      <c r="AC1" s="549" t="s">
        <v>170</v>
      </c>
      <c r="AD1" s="549" t="s">
        <v>171</v>
      </c>
      <c r="AE1" s="549" t="s">
        <v>175</v>
      </c>
      <c r="AF1" s="549" t="s">
        <v>178</v>
      </c>
      <c r="AG1" s="549" t="s">
        <v>180</v>
      </c>
      <c r="AH1" s="549" t="s">
        <v>181</v>
      </c>
      <c r="AI1" s="549" t="s">
        <v>182</v>
      </c>
      <c r="AJ1" s="549" t="s">
        <v>183</v>
      </c>
      <c r="AK1" s="549" t="s">
        <v>185</v>
      </c>
      <c r="AL1" s="549" t="s">
        <v>187</v>
      </c>
      <c r="AM1" s="549" t="s">
        <v>188</v>
      </c>
      <c r="AN1" s="550" t="s">
        <v>189</v>
      </c>
      <c r="AO1" s="549" t="s">
        <v>191</v>
      </c>
      <c r="AP1" s="549" t="s">
        <v>194</v>
      </c>
      <c r="AQ1" s="549" t="s">
        <v>195</v>
      </c>
      <c r="AR1" s="549" t="s">
        <v>200</v>
      </c>
      <c r="AS1" s="549" t="s">
        <v>196</v>
      </c>
      <c r="AT1" s="549" t="s">
        <v>197</v>
      </c>
      <c r="AU1" s="549" t="s">
        <v>198</v>
      </c>
      <c r="AV1" s="549" t="s">
        <v>199</v>
      </c>
      <c r="AW1" s="550" t="s">
        <v>201</v>
      </c>
      <c r="AX1" s="549" t="s">
        <v>203</v>
      </c>
      <c r="AY1" s="549" t="s">
        <v>204</v>
      </c>
      <c r="AZ1" s="549" t="s">
        <v>205</v>
      </c>
      <c r="BA1" s="549" t="s">
        <v>206</v>
      </c>
      <c r="BB1" s="549" t="s">
        <v>207</v>
      </c>
      <c r="BC1" s="549" t="s">
        <v>208</v>
      </c>
      <c r="BD1" s="549" t="s">
        <v>209</v>
      </c>
      <c r="BE1" s="549" t="s">
        <v>210</v>
      </c>
      <c r="BF1" s="549" t="s">
        <v>212</v>
      </c>
      <c r="BG1" s="549" t="s">
        <v>213</v>
      </c>
      <c r="BH1" s="549" t="s">
        <v>215</v>
      </c>
      <c r="BI1" s="550" t="s">
        <v>216</v>
      </c>
      <c r="BJ1" s="549" t="s">
        <v>217</v>
      </c>
      <c r="BK1" s="549" t="s">
        <v>219</v>
      </c>
    </row>
    <row r="2">
      <c r="A2" s="572">
        <v>2013.0</v>
      </c>
      <c r="B2" s="573"/>
      <c r="C2" s="573"/>
      <c r="D2" s="573"/>
      <c r="E2" s="1"/>
      <c r="F2" s="1"/>
      <c r="G2" s="1"/>
      <c r="H2" s="1"/>
      <c r="I2" s="1"/>
      <c r="J2" s="1"/>
      <c r="K2" s="573"/>
      <c r="L2" s="573"/>
      <c r="M2" s="573"/>
      <c r="N2" s="573"/>
      <c r="O2" s="573"/>
      <c r="P2" s="573"/>
      <c r="Q2" s="573"/>
      <c r="R2" s="573"/>
      <c r="S2" s="573"/>
      <c r="T2" s="573"/>
      <c r="U2" s="573"/>
      <c r="V2" s="573"/>
      <c r="W2" s="574"/>
      <c r="X2" s="573"/>
      <c r="Y2" s="573"/>
      <c r="Z2" s="573"/>
      <c r="AA2" s="573"/>
      <c r="AB2" s="573"/>
      <c r="AC2" s="573"/>
      <c r="AD2" s="573"/>
      <c r="AE2" s="573"/>
      <c r="AF2" s="573"/>
      <c r="AG2" s="573"/>
      <c r="AH2" s="573"/>
      <c r="AI2" s="573"/>
      <c r="AJ2" s="573"/>
      <c r="AK2" s="573"/>
      <c r="AL2" s="573"/>
      <c r="AM2" s="573"/>
      <c r="AN2" s="573"/>
      <c r="AO2" s="573"/>
      <c r="AP2" s="573"/>
      <c r="AQ2" s="573"/>
      <c r="AR2" s="573"/>
      <c r="AS2" s="573"/>
      <c r="AT2" s="573"/>
      <c r="AU2" s="573"/>
      <c r="AV2" s="573"/>
      <c r="AW2" s="573"/>
      <c r="AX2" s="573"/>
      <c r="AY2" s="573"/>
      <c r="AZ2" s="573"/>
      <c r="BA2" s="573"/>
      <c r="BB2" s="573"/>
      <c r="BC2" s="573"/>
      <c r="BD2" s="573"/>
      <c r="BE2" s="573"/>
      <c r="BF2" s="573"/>
      <c r="BG2" s="573"/>
      <c r="BH2" s="573"/>
      <c r="BI2" s="575"/>
      <c r="BJ2" s="573"/>
      <c r="BK2" s="573"/>
    </row>
    <row r="3">
      <c r="A3" s="551" t="s">
        <v>456</v>
      </c>
      <c r="B3" s="561"/>
      <c r="C3" s="561"/>
      <c r="D3" s="561"/>
      <c r="E3" s="582"/>
      <c r="F3" s="582"/>
      <c r="G3" s="582"/>
      <c r="H3" s="582"/>
      <c r="I3" s="582"/>
      <c r="J3" s="583" t="s">
        <v>223</v>
      </c>
      <c r="K3" s="583" t="s">
        <v>223</v>
      </c>
      <c r="L3" s="561"/>
      <c r="M3" s="561"/>
      <c r="N3" s="561"/>
      <c r="O3" s="584" t="s">
        <v>223</v>
      </c>
      <c r="P3" s="584" t="s">
        <v>223</v>
      </c>
      <c r="Q3" s="584" t="s">
        <v>223</v>
      </c>
      <c r="R3" s="584" t="s">
        <v>223</v>
      </c>
      <c r="S3" s="584" t="s">
        <v>223</v>
      </c>
      <c r="T3" s="561"/>
      <c r="U3" s="561"/>
      <c r="V3" s="561"/>
      <c r="W3" s="563"/>
      <c r="X3" s="584" t="s">
        <v>223</v>
      </c>
      <c r="Y3" s="561"/>
      <c r="Z3" s="561"/>
      <c r="AA3" s="561"/>
      <c r="AB3" s="584" t="s">
        <v>223</v>
      </c>
      <c r="AC3" s="561"/>
      <c r="AD3" s="584" t="s">
        <v>223</v>
      </c>
      <c r="AE3" s="584" t="s">
        <v>223</v>
      </c>
      <c r="AF3" s="584" t="s">
        <v>223</v>
      </c>
      <c r="AG3" s="561"/>
      <c r="AH3" s="584" t="s">
        <v>223</v>
      </c>
      <c r="AI3" s="584" t="s">
        <v>223</v>
      </c>
      <c r="AJ3" s="561"/>
      <c r="AK3" s="561"/>
      <c r="AL3" s="561"/>
      <c r="AM3" s="561"/>
      <c r="AN3" s="584" t="s">
        <v>223</v>
      </c>
      <c r="AO3" s="584" t="s">
        <v>223</v>
      </c>
      <c r="AP3" s="584" t="s">
        <v>223</v>
      </c>
      <c r="AQ3" s="584" t="s">
        <v>223</v>
      </c>
      <c r="AR3" s="561"/>
      <c r="AS3" s="561"/>
      <c r="AT3" s="561"/>
      <c r="AU3" s="561"/>
      <c r="AV3" s="584" t="s">
        <v>223</v>
      </c>
      <c r="AW3" s="584" t="s">
        <v>223</v>
      </c>
      <c r="AX3" s="561"/>
      <c r="AY3" s="561"/>
      <c r="AZ3" s="584" t="s">
        <v>223</v>
      </c>
      <c r="BA3" s="561"/>
      <c r="BB3" s="584" t="s">
        <v>223</v>
      </c>
      <c r="BC3" s="561"/>
      <c r="BD3" s="584" t="s">
        <v>223</v>
      </c>
      <c r="BE3" s="584" t="s">
        <v>223</v>
      </c>
      <c r="BF3" s="584" t="s">
        <v>223</v>
      </c>
      <c r="BG3" s="584" t="s">
        <v>223</v>
      </c>
      <c r="BH3" s="561"/>
      <c r="BI3" s="563"/>
      <c r="BJ3" s="561"/>
      <c r="BK3" s="561"/>
    </row>
    <row r="4">
      <c r="A4" s="585" t="s">
        <v>525</v>
      </c>
      <c r="B4" s="586"/>
      <c r="C4" s="586"/>
      <c r="D4" s="586"/>
      <c r="E4" s="587"/>
      <c r="F4" s="587"/>
      <c r="G4" s="587"/>
      <c r="H4" s="587"/>
      <c r="I4" s="587"/>
      <c r="J4" s="588" t="s">
        <v>590</v>
      </c>
      <c r="K4" s="586"/>
      <c r="L4" s="586"/>
      <c r="M4" s="586"/>
      <c r="N4" s="586"/>
      <c r="O4" s="589" t="s">
        <v>223</v>
      </c>
      <c r="P4" s="586"/>
      <c r="Q4" s="589" t="s">
        <v>590</v>
      </c>
      <c r="R4" s="586"/>
      <c r="S4" s="586"/>
      <c r="T4" s="586"/>
      <c r="U4" s="586"/>
      <c r="V4" s="586"/>
      <c r="W4" s="590"/>
      <c r="X4" s="586"/>
      <c r="Y4" s="586"/>
      <c r="Z4" s="586"/>
      <c r="AA4" s="586"/>
      <c r="AB4" s="586"/>
      <c r="AC4" s="586"/>
      <c r="AD4" s="586"/>
      <c r="AE4" s="586"/>
      <c r="AF4" s="586"/>
      <c r="AG4" s="586"/>
      <c r="AH4" s="586"/>
      <c r="AI4" s="586"/>
      <c r="AJ4" s="586"/>
      <c r="AK4" s="586"/>
      <c r="AL4" s="586"/>
      <c r="AM4" s="586"/>
      <c r="AN4" s="586"/>
      <c r="AO4" s="586"/>
      <c r="AP4" s="586"/>
      <c r="AQ4" s="586"/>
      <c r="AR4" s="586"/>
      <c r="AS4" s="586"/>
      <c r="AT4" s="586"/>
      <c r="AU4" s="586"/>
      <c r="AV4" s="586"/>
      <c r="AW4" s="586"/>
      <c r="AX4" s="586"/>
      <c r="AY4" s="586"/>
      <c r="AZ4" s="586"/>
      <c r="BA4" s="586"/>
      <c r="BB4" s="586"/>
      <c r="BC4" s="586"/>
      <c r="BD4" s="589" t="s">
        <v>223</v>
      </c>
      <c r="BE4" s="586"/>
      <c r="BF4" s="586"/>
      <c r="BG4" s="586"/>
      <c r="BH4" s="586"/>
      <c r="BI4" s="590"/>
      <c r="BJ4" s="586"/>
      <c r="BK4" s="586"/>
    </row>
    <row r="5">
      <c r="A5" s="551" t="s">
        <v>529</v>
      </c>
      <c r="B5" s="561"/>
      <c r="C5" s="561"/>
      <c r="D5" s="561"/>
      <c r="E5" s="582"/>
      <c r="F5" s="583" t="s">
        <v>223</v>
      </c>
      <c r="G5" s="582"/>
      <c r="H5" s="582"/>
      <c r="I5" s="583" t="s">
        <v>223</v>
      </c>
      <c r="J5" s="582"/>
      <c r="K5" s="561"/>
      <c r="L5" s="584" t="s">
        <v>223</v>
      </c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3"/>
      <c r="X5" s="561"/>
      <c r="Y5" s="561"/>
      <c r="Z5" s="561"/>
      <c r="AA5" s="561"/>
      <c r="AB5" s="561"/>
      <c r="AC5" s="561"/>
      <c r="AD5" s="561"/>
      <c r="AE5" s="561"/>
      <c r="AF5" s="584" t="s">
        <v>223</v>
      </c>
      <c r="AG5" s="561"/>
      <c r="AH5" s="561"/>
      <c r="AI5" s="561"/>
      <c r="AJ5" s="561"/>
      <c r="AK5" s="561"/>
      <c r="AL5" s="561"/>
      <c r="AM5" s="561"/>
      <c r="AN5" s="561"/>
      <c r="AO5" s="561"/>
      <c r="AP5" s="561"/>
      <c r="AQ5" s="561"/>
      <c r="AR5" s="561"/>
      <c r="AS5" s="561"/>
      <c r="AT5" s="561"/>
      <c r="AU5" s="561"/>
      <c r="AV5" s="584" t="s">
        <v>223</v>
      </c>
      <c r="AW5" s="561"/>
      <c r="AX5" s="561"/>
      <c r="AY5" s="561"/>
      <c r="AZ5" s="561"/>
      <c r="BA5" s="561"/>
      <c r="BB5" s="584" t="s">
        <v>225</v>
      </c>
      <c r="BC5" s="584" t="s">
        <v>223</v>
      </c>
      <c r="BD5" s="561"/>
      <c r="BE5" s="561"/>
      <c r="BF5" s="561"/>
      <c r="BG5" s="561"/>
      <c r="BH5" s="561"/>
      <c r="BI5" s="563"/>
      <c r="BJ5" s="561"/>
      <c r="BK5" s="561"/>
    </row>
    <row r="6">
      <c r="A6" s="585" t="s">
        <v>533</v>
      </c>
      <c r="B6" s="586"/>
      <c r="C6" s="586"/>
      <c r="D6" s="586"/>
      <c r="E6" s="587"/>
      <c r="F6" s="587"/>
      <c r="G6" s="587"/>
      <c r="H6" s="587"/>
      <c r="I6" s="587"/>
      <c r="J6" s="587"/>
      <c r="K6" s="586"/>
      <c r="L6" s="586"/>
      <c r="M6" s="586"/>
      <c r="N6" s="586"/>
      <c r="O6" s="586"/>
      <c r="P6" s="586"/>
      <c r="Q6" s="586"/>
      <c r="R6" s="586"/>
      <c r="S6" s="586"/>
      <c r="T6" s="586"/>
      <c r="U6" s="586"/>
      <c r="V6" s="586"/>
      <c r="W6" s="590"/>
      <c r="X6" s="586"/>
      <c r="Y6" s="586"/>
      <c r="Z6" s="586"/>
      <c r="AA6" s="586"/>
      <c r="AB6" s="586"/>
      <c r="AC6" s="589" t="s">
        <v>223</v>
      </c>
      <c r="AD6" s="586"/>
      <c r="AE6" s="586"/>
      <c r="AF6" s="586"/>
      <c r="AG6" s="586"/>
      <c r="AH6" s="586"/>
      <c r="AI6" s="586"/>
      <c r="AJ6" s="586"/>
      <c r="AK6" s="586"/>
      <c r="AL6" s="586"/>
      <c r="AM6" s="586"/>
      <c r="AN6" s="586"/>
      <c r="AO6" s="586"/>
      <c r="AP6" s="586"/>
      <c r="AQ6" s="586"/>
      <c r="AR6" s="586"/>
      <c r="AS6" s="586"/>
      <c r="AT6" s="586"/>
      <c r="AU6" s="586"/>
      <c r="AV6" s="586"/>
      <c r="AW6" s="586"/>
      <c r="AX6" s="586"/>
      <c r="AY6" s="586"/>
      <c r="AZ6" s="586"/>
      <c r="BA6" s="586"/>
      <c r="BB6" s="586"/>
      <c r="BC6" s="586"/>
      <c r="BD6" s="586"/>
      <c r="BE6" s="586"/>
      <c r="BF6" s="586"/>
      <c r="BG6" s="586"/>
      <c r="BH6" s="586"/>
      <c r="BI6" s="590"/>
      <c r="BJ6" s="586"/>
      <c r="BK6" s="586"/>
    </row>
    <row r="7">
      <c r="A7" s="551" t="s">
        <v>537</v>
      </c>
      <c r="B7" s="561"/>
      <c r="C7" s="561"/>
      <c r="D7" s="561"/>
      <c r="E7" s="582"/>
      <c r="F7" s="582"/>
      <c r="G7" s="582"/>
      <c r="H7" s="582"/>
      <c r="I7" s="582"/>
      <c r="J7" s="582"/>
      <c r="K7" s="561"/>
      <c r="L7" s="561"/>
      <c r="M7" s="561"/>
      <c r="N7" s="561"/>
      <c r="O7" s="584" t="s">
        <v>223</v>
      </c>
      <c r="P7" s="584" t="s">
        <v>223</v>
      </c>
      <c r="Q7" s="561"/>
      <c r="R7" s="561"/>
      <c r="S7" s="561"/>
      <c r="T7" s="561"/>
      <c r="U7" s="561"/>
      <c r="V7" s="561"/>
      <c r="W7" s="563"/>
      <c r="X7" s="561"/>
      <c r="Y7" s="561"/>
      <c r="Z7" s="561"/>
      <c r="AA7" s="561"/>
      <c r="AB7" s="561"/>
      <c r="AC7" s="561"/>
      <c r="AD7" s="561"/>
      <c r="AE7" s="561"/>
      <c r="AF7" s="584" t="s">
        <v>223</v>
      </c>
      <c r="AG7" s="561"/>
      <c r="AH7" s="561"/>
      <c r="AI7" s="561"/>
      <c r="AJ7" s="561"/>
      <c r="AK7" s="561"/>
      <c r="AL7" s="561"/>
      <c r="AM7" s="561"/>
      <c r="AN7" s="584" t="s">
        <v>223</v>
      </c>
      <c r="AO7" s="561"/>
      <c r="AP7" s="561"/>
      <c r="AQ7" s="584" t="s">
        <v>223</v>
      </c>
      <c r="AR7" s="561"/>
      <c r="AS7" s="561"/>
      <c r="AT7" s="561"/>
      <c r="AU7" s="561"/>
      <c r="AV7" s="561"/>
      <c r="AW7" s="584" t="s">
        <v>223</v>
      </c>
      <c r="AX7" s="561"/>
      <c r="AY7" s="561"/>
      <c r="AZ7" s="584" t="s">
        <v>223</v>
      </c>
      <c r="BA7" s="561"/>
      <c r="BB7" s="561"/>
      <c r="BC7" s="561"/>
      <c r="BD7" s="561"/>
      <c r="BE7" s="561"/>
      <c r="BF7" s="561"/>
      <c r="BG7" s="584" t="s">
        <v>223</v>
      </c>
      <c r="BH7" s="561"/>
      <c r="BI7" s="563"/>
      <c r="BJ7" s="561"/>
      <c r="BK7" s="561"/>
    </row>
    <row r="8">
      <c r="A8" s="585" t="s">
        <v>476</v>
      </c>
      <c r="B8" s="586"/>
      <c r="C8" s="586"/>
      <c r="D8" s="586"/>
      <c r="E8" s="587"/>
      <c r="F8" s="587"/>
      <c r="G8" s="587"/>
      <c r="H8" s="587"/>
      <c r="I8" s="587"/>
      <c r="J8" s="587"/>
      <c r="K8" s="586"/>
      <c r="L8" s="586"/>
      <c r="M8" s="586"/>
      <c r="N8" s="589" t="s">
        <v>223</v>
      </c>
      <c r="O8" s="586"/>
      <c r="P8" s="589" t="s">
        <v>590</v>
      </c>
      <c r="Q8" s="586"/>
      <c r="R8" s="586"/>
      <c r="S8" s="586"/>
      <c r="T8" s="589" t="s">
        <v>223</v>
      </c>
      <c r="U8" s="589" t="s">
        <v>223</v>
      </c>
      <c r="V8" s="586"/>
      <c r="W8" s="590"/>
      <c r="X8" s="589" t="s">
        <v>223</v>
      </c>
      <c r="Y8" s="586"/>
      <c r="Z8" s="586"/>
      <c r="AA8" s="586"/>
      <c r="AB8" s="589" t="s">
        <v>590</v>
      </c>
      <c r="AC8" s="589" t="s">
        <v>223</v>
      </c>
      <c r="AD8" s="586"/>
      <c r="AE8" s="586"/>
      <c r="AF8" s="589" t="s">
        <v>590</v>
      </c>
      <c r="AG8" s="586"/>
      <c r="AH8" s="586"/>
      <c r="AI8" s="586"/>
      <c r="AJ8" s="586"/>
      <c r="AK8" s="589" t="s">
        <v>590</v>
      </c>
      <c r="AL8" s="586"/>
      <c r="AM8" s="586"/>
      <c r="AN8" s="586"/>
      <c r="AO8" s="589" t="s">
        <v>590</v>
      </c>
      <c r="AP8" s="586"/>
      <c r="AQ8" s="586"/>
      <c r="AR8" s="586"/>
      <c r="AS8" s="586"/>
      <c r="AT8" s="586"/>
      <c r="AU8" s="586"/>
      <c r="AV8" s="586"/>
      <c r="AW8" s="586"/>
      <c r="AX8" s="586"/>
      <c r="AY8" s="586"/>
      <c r="AZ8" s="586"/>
      <c r="BA8" s="586"/>
      <c r="BB8" s="586"/>
      <c r="BC8" s="586"/>
      <c r="BD8" s="586"/>
      <c r="BE8" s="589" t="s">
        <v>590</v>
      </c>
      <c r="BF8" s="589" t="s">
        <v>590</v>
      </c>
      <c r="BG8" s="586"/>
      <c r="BH8" s="586"/>
      <c r="BI8" s="590"/>
      <c r="BJ8" s="586"/>
      <c r="BK8" s="586"/>
    </row>
    <row r="9">
      <c r="A9" s="551" t="s">
        <v>544</v>
      </c>
      <c r="B9" s="561"/>
      <c r="C9" s="561"/>
      <c r="D9" s="561"/>
      <c r="E9" s="582"/>
      <c r="F9" s="582"/>
      <c r="G9" s="582"/>
      <c r="H9" s="583" t="s">
        <v>223</v>
      </c>
      <c r="I9" s="582"/>
      <c r="J9" s="582"/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3"/>
      <c r="X9" s="561"/>
      <c r="Y9" s="561"/>
      <c r="Z9" s="561"/>
      <c r="AA9" s="561"/>
      <c r="AB9" s="561"/>
      <c r="AC9" s="561"/>
      <c r="AD9" s="561"/>
      <c r="AE9" s="561"/>
      <c r="AF9" s="561"/>
      <c r="AG9" s="561"/>
      <c r="AH9" s="561"/>
      <c r="AI9" s="561"/>
      <c r="AJ9" s="561"/>
      <c r="AK9" s="561"/>
      <c r="AL9" s="561"/>
      <c r="AM9" s="561"/>
      <c r="AN9" s="561"/>
      <c r="AO9" s="584" t="s">
        <v>223</v>
      </c>
      <c r="AP9" s="561"/>
      <c r="AQ9" s="561"/>
      <c r="AR9" s="561"/>
      <c r="AS9" s="561"/>
      <c r="AT9" s="584" t="s">
        <v>223</v>
      </c>
      <c r="AU9" s="561"/>
      <c r="AV9" s="561"/>
      <c r="AW9" s="561"/>
      <c r="AX9" s="561"/>
      <c r="AY9" s="561"/>
      <c r="AZ9" s="561"/>
      <c r="BA9" s="561"/>
      <c r="BB9" s="561"/>
      <c r="BC9" s="561"/>
      <c r="BD9" s="584" t="s">
        <v>225</v>
      </c>
      <c r="BE9" s="561"/>
      <c r="BF9" s="561"/>
      <c r="BG9" s="561"/>
      <c r="BH9" s="561"/>
      <c r="BI9" s="563"/>
      <c r="BJ9" s="561"/>
      <c r="BK9" s="561"/>
    </row>
    <row r="10">
      <c r="A10" s="585" t="s">
        <v>549</v>
      </c>
      <c r="B10" s="586"/>
      <c r="C10" s="589" t="s">
        <v>223</v>
      </c>
      <c r="D10" s="586"/>
      <c r="E10" s="587"/>
      <c r="F10" s="587"/>
      <c r="G10" s="587"/>
      <c r="H10" s="587"/>
      <c r="I10" s="587"/>
      <c r="J10" s="587"/>
      <c r="K10" s="586"/>
      <c r="L10" s="586"/>
      <c r="M10" s="586"/>
      <c r="N10" s="586"/>
      <c r="O10" s="586"/>
      <c r="P10" s="586"/>
      <c r="Q10" s="589" t="s">
        <v>223</v>
      </c>
      <c r="R10" s="586"/>
      <c r="S10" s="589" t="s">
        <v>223</v>
      </c>
      <c r="T10" s="586"/>
      <c r="U10" s="586"/>
      <c r="V10" s="586"/>
      <c r="W10" s="590"/>
      <c r="X10" s="586"/>
      <c r="Y10" s="586"/>
      <c r="Z10" s="586"/>
      <c r="AA10" s="586"/>
      <c r="AB10" s="589" t="s">
        <v>223</v>
      </c>
      <c r="AC10" s="586"/>
      <c r="AD10" s="586"/>
      <c r="AE10" s="586"/>
      <c r="AF10" s="589" t="s">
        <v>223</v>
      </c>
      <c r="AG10" s="586"/>
      <c r="AH10" s="586"/>
      <c r="AI10" s="586"/>
      <c r="AJ10" s="586"/>
      <c r="AK10" s="589" t="s">
        <v>223</v>
      </c>
      <c r="AL10" s="586"/>
      <c r="AM10" s="586"/>
      <c r="AN10" s="586"/>
      <c r="AO10" s="589" t="s">
        <v>223</v>
      </c>
      <c r="AP10" s="586"/>
      <c r="AQ10" s="586"/>
      <c r="AR10" s="586"/>
      <c r="AS10" s="586"/>
      <c r="AT10" s="586"/>
      <c r="AU10" s="586"/>
      <c r="AV10" s="586"/>
      <c r="AW10" s="586"/>
      <c r="AX10" s="586"/>
      <c r="AY10" s="586"/>
      <c r="AZ10" s="586"/>
      <c r="BA10" s="586"/>
      <c r="BB10" s="586"/>
      <c r="BC10" s="586"/>
      <c r="BD10" s="586"/>
      <c r="BE10" s="586"/>
      <c r="BF10" s="589" t="s">
        <v>223</v>
      </c>
      <c r="BG10" s="586"/>
      <c r="BH10" s="586"/>
      <c r="BI10" s="590"/>
      <c r="BJ10" s="586"/>
      <c r="BK10" s="586"/>
    </row>
    <row r="11">
      <c r="A11" s="551" t="s">
        <v>553</v>
      </c>
      <c r="B11" s="584" t="s">
        <v>223</v>
      </c>
      <c r="C11" s="561"/>
      <c r="D11" s="561"/>
      <c r="E11" s="582"/>
      <c r="F11" s="582"/>
      <c r="G11" s="582"/>
      <c r="H11" s="582"/>
      <c r="I11" s="582"/>
      <c r="J11" s="582"/>
      <c r="K11" s="561"/>
      <c r="L11" s="561"/>
      <c r="M11" s="561"/>
      <c r="N11" s="561"/>
      <c r="O11" s="584" t="s">
        <v>223</v>
      </c>
      <c r="P11" s="561"/>
      <c r="Q11" s="561"/>
      <c r="R11" s="561"/>
      <c r="S11" s="561"/>
      <c r="T11" s="561"/>
      <c r="U11" s="561"/>
      <c r="V11" s="561"/>
      <c r="W11" s="563"/>
      <c r="X11" s="584" t="s">
        <v>223</v>
      </c>
      <c r="Y11" s="561"/>
      <c r="Z11" s="561"/>
      <c r="AA11" s="561"/>
      <c r="AB11" s="561"/>
      <c r="AC11" s="561"/>
      <c r="AD11" s="561"/>
      <c r="AE11" s="561"/>
      <c r="AF11" s="584" t="s">
        <v>223</v>
      </c>
      <c r="AG11" s="561"/>
      <c r="AH11" s="561"/>
      <c r="AI11" s="561"/>
      <c r="AJ11" s="561"/>
      <c r="AK11" s="561"/>
      <c r="AL11" s="561"/>
      <c r="AM11" s="584" t="s">
        <v>223</v>
      </c>
      <c r="AN11" s="561"/>
      <c r="AO11" s="584" t="s">
        <v>223</v>
      </c>
      <c r="AP11" s="561"/>
      <c r="AQ11" s="561"/>
      <c r="AR11" s="561"/>
      <c r="AS11" s="561"/>
      <c r="AT11" s="561"/>
      <c r="AU11" s="561"/>
      <c r="AV11" s="561"/>
      <c r="AW11" s="584" t="s">
        <v>223</v>
      </c>
      <c r="AX11" s="561"/>
      <c r="AY11" s="561"/>
      <c r="AZ11" s="584" t="s">
        <v>225</v>
      </c>
      <c r="BA11" s="561"/>
      <c r="BB11" s="561"/>
      <c r="BC11" s="561"/>
      <c r="BD11" s="561"/>
      <c r="BE11" s="561"/>
      <c r="BF11" s="561"/>
      <c r="BG11" s="561"/>
      <c r="BH11" s="561"/>
      <c r="BI11" s="563"/>
      <c r="BJ11" s="561"/>
      <c r="BK11" s="561"/>
    </row>
    <row r="12">
      <c r="A12" s="585" t="s">
        <v>558</v>
      </c>
      <c r="B12" s="586"/>
      <c r="C12" s="586"/>
      <c r="D12" s="586"/>
      <c r="E12" s="587"/>
      <c r="F12" s="587"/>
      <c r="G12" s="587"/>
      <c r="H12" s="587"/>
      <c r="I12" s="587"/>
      <c r="J12" s="587"/>
      <c r="K12" s="586"/>
      <c r="L12" s="586"/>
      <c r="M12" s="586"/>
      <c r="N12" s="586"/>
      <c r="O12" s="586"/>
      <c r="P12" s="586"/>
      <c r="Q12" s="586"/>
      <c r="R12" s="586"/>
      <c r="S12" s="586"/>
      <c r="T12" s="586"/>
      <c r="U12" s="586"/>
      <c r="V12" s="586"/>
      <c r="W12" s="590"/>
      <c r="X12" s="586"/>
      <c r="Y12" s="586"/>
      <c r="Z12" s="586"/>
      <c r="AA12" s="586"/>
      <c r="AB12" s="586"/>
      <c r="AC12" s="586"/>
      <c r="AD12" s="586"/>
      <c r="AE12" s="586"/>
      <c r="AF12" s="586"/>
      <c r="AG12" s="586"/>
      <c r="AH12" s="586"/>
      <c r="AI12" s="586"/>
      <c r="AJ12" s="586"/>
      <c r="AK12" s="586"/>
      <c r="AL12" s="586"/>
      <c r="AM12" s="586"/>
      <c r="AN12" s="586"/>
      <c r="AO12" s="586"/>
      <c r="AP12" s="586"/>
      <c r="AQ12" s="586"/>
      <c r="AR12" s="586"/>
      <c r="AS12" s="586"/>
      <c r="AT12" s="586"/>
      <c r="AU12" s="586"/>
      <c r="AV12" s="586"/>
      <c r="AW12" s="586"/>
      <c r="AX12" s="586"/>
      <c r="AY12" s="586"/>
      <c r="AZ12" s="586"/>
      <c r="BA12" s="586"/>
      <c r="BB12" s="586"/>
      <c r="BC12" s="586"/>
      <c r="BD12" s="586"/>
      <c r="BE12" s="586"/>
      <c r="BF12" s="586"/>
      <c r="BG12" s="586"/>
      <c r="BH12" s="586"/>
      <c r="BI12" s="590"/>
      <c r="BJ12" s="589" t="s">
        <v>223</v>
      </c>
      <c r="BK12" s="586"/>
    </row>
    <row r="13" hidden="1">
      <c r="A13" s="551" t="s">
        <v>559</v>
      </c>
      <c r="B13" s="561"/>
      <c r="C13" s="561"/>
      <c r="D13" s="561"/>
      <c r="E13" s="582"/>
      <c r="F13" s="582"/>
      <c r="G13" s="582"/>
      <c r="H13" s="582"/>
      <c r="I13" s="582"/>
      <c r="J13" s="582"/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3"/>
      <c r="X13" s="561"/>
      <c r="Y13" s="561"/>
      <c r="Z13" s="561"/>
      <c r="AA13" s="561"/>
      <c r="AB13" s="561"/>
      <c r="AC13" s="561"/>
      <c r="AD13" s="561"/>
      <c r="AE13" s="561"/>
      <c r="AF13" s="561"/>
      <c r="AG13" s="561"/>
      <c r="AH13" s="561"/>
      <c r="AI13" s="561"/>
      <c r="AJ13" s="561"/>
      <c r="AK13" s="561"/>
      <c r="AL13" s="561"/>
      <c r="AM13" s="561"/>
      <c r="AN13" s="561"/>
      <c r="AO13" s="561"/>
      <c r="AP13" s="561"/>
      <c r="AQ13" s="561"/>
      <c r="AR13" s="561"/>
      <c r="AS13" s="561"/>
      <c r="AT13" s="561"/>
      <c r="AU13" s="561"/>
      <c r="AV13" s="561"/>
      <c r="AW13" s="561"/>
      <c r="AX13" s="561"/>
      <c r="AY13" s="561"/>
      <c r="AZ13" s="561"/>
      <c r="BA13" s="561"/>
      <c r="BB13" s="561"/>
      <c r="BC13" s="561"/>
      <c r="BD13" s="561"/>
      <c r="BE13" s="561"/>
      <c r="BF13" s="561"/>
      <c r="BG13" s="561"/>
      <c r="BH13" s="561"/>
      <c r="BI13" s="563"/>
      <c r="BJ13" s="561"/>
      <c r="BK13" s="561"/>
    </row>
    <row r="14" hidden="1">
      <c r="A14" s="591" t="s">
        <v>560</v>
      </c>
      <c r="B14" s="592"/>
      <c r="C14" s="592"/>
      <c r="D14" s="592"/>
      <c r="E14" s="593"/>
      <c r="F14" s="593"/>
      <c r="G14" s="593"/>
      <c r="H14" s="593"/>
      <c r="I14" s="593"/>
      <c r="J14" s="593"/>
      <c r="K14" s="592"/>
      <c r="L14" s="592"/>
      <c r="M14" s="592"/>
      <c r="N14" s="592"/>
      <c r="O14" s="594"/>
      <c r="P14" s="592"/>
      <c r="Q14" s="594"/>
      <c r="R14" s="592"/>
      <c r="S14" s="592"/>
      <c r="T14" s="592"/>
      <c r="U14" s="592"/>
      <c r="V14" s="592"/>
      <c r="W14" s="595"/>
      <c r="X14" s="592"/>
      <c r="Y14" s="592"/>
      <c r="Z14" s="592"/>
      <c r="AA14" s="592"/>
      <c r="AB14" s="592"/>
      <c r="AC14" s="592"/>
      <c r="AD14" s="592"/>
      <c r="AE14" s="592"/>
      <c r="AF14" s="592"/>
      <c r="AG14" s="592"/>
      <c r="AH14" s="592"/>
      <c r="AI14" s="592"/>
      <c r="AJ14" s="592"/>
      <c r="AK14" s="592"/>
      <c r="AL14" s="592"/>
      <c r="AM14" s="592"/>
      <c r="AN14" s="592"/>
      <c r="AO14" s="592"/>
      <c r="AP14" s="592"/>
      <c r="AQ14" s="592"/>
      <c r="AR14" s="592"/>
      <c r="AS14" s="592"/>
      <c r="AT14" s="592"/>
      <c r="AU14" s="592"/>
      <c r="AV14" s="592"/>
      <c r="AW14" s="592"/>
      <c r="AX14" s="592"/>
      <c r="AY14" s="592"/>
      <c r="AZ14" s="592"/>
      <c r="BA14" s="592"/>
      <c r="BB14" s="592"/>
      <c r="BC14" s="592"/>
      <c r="BD14" s="594"/>
      <c r="BE14" s="592"/>
      <c r="BF14" s="592"/>
      <c r="BG14" s="592"/>
      <c r="BH14" s="592"/>
      <c r="BI14" s="595"/>
      <c r="BJ14" s="592"/>
      <c r="BK14" s="592"/>
    </row>
    <row r="15" hidden="1">
      <c r="A15" s="591" t="s">
        <v>561</v>
      </c>
      <c r="B15" s="592"/>
      <c r="C15" s="592"/>
      <c r="D15" s="592"/>
      <c r="E15" s="593"/>
      <c r="F15" s="593"/>
      <c r="G15" s="593"/>
      <c r="H15" s="593"/>
      <c r="I15" s="593"/>
      <c r="J15" s="593"/>
      <c r="K15" s="592"/>
      <c r="L15" s="592"/>
      <c r="M15" s="592"/>
      <c r="N15" s="592"/>
      <c r="O15" s="594"/>
      <c r="P15" s="592"/>
      <c r="Q15" s="594"/>
      <c r="R15" s="592"/>
      <c r="S15" s="592"/>
      <c r="T15" s="592"/>
      <c r="U15" s="592"/>
      <c r="V15" s="592"/>
      <c r="W15" s="595"/>
      <c r="X15" s="592"/>
      <c r="Y15" s="592"/>
      <c r="Z15" s="592"/>
      <c r="AA15" s="592"/>
      <c r="AB15" s="592"/>
      <c r="AC15" s="592"/>
      <c r="AD15" s="592"/>
      <c r="AE15" s="592"/>
      <c r="AF15" s="592"/>
      <c r="AG15" s="592"/>
      <c r="AH15" s="592"/>
      <c r="AI15" s="592"/>
      <c r="AJ15" s="592"/>
      <c r="AK15" s="592"/>
      <c r="AL15" s="592"/>
      <c r="AM15" s="592"/>
      <c r="AN15" s="592"/>
      <c r="AO15" s="592"/>
      <c r="AP15" s="592"/>
      <c r="AQ15" s="592"/>
      <c r="AR15" s="592"/>
      <c r="AS15" s="592"/>
      <c r="AT15" s="592"/>
      <c r="AU15" s="592"/>
      <c r="AV15" s="592"/>
      <c r="AW15" s="592"/>
      <c r="AX15" s="592"/>
      <c r="AY15" s="592"/>
      <c r="AZ15" s="592"/>
      <c r="BA15" s="592"/>
      <c r="BB15" s="592"/>
      <c r="BC15" s="592"/>
      <c r="BD15" s="594"/>
      <c r="BE15" s="592"/>
      <c r="BF15" s="592"/>
      <c r="BG15" s="592"/>
      <c r="BH15" s="592"/>
      <c r="BI15" s="595"/>
      <c r="BJ15" s="592"/>
      <c r="BK15" s="592"/>
    </row>
    <row r="16" hidden="1">
      <c r="A16" s="591" t="s">
        <v>562</v>
      </c>
      <c r="B16" s="592"/>
      <c r="C16" s="592"/>
      <c r="D16" s="592"/>
      <c r="E16" s="593"/>
      <c r="F16" s="593"/>
      <c r="G16" s="593"/>
      <c r="H16" s="593"/>
      <c r="I16" s="593"/>
      <c r="J16" s="593"/>
      <c r="K16" s="592"/>
      <c r="L16" s="592"/>
      <c r="M16" s="592"/>
      <c r="N16" s="592"/>
      <c r="O16" s="594"/>
      <c r="P16" s="592"/>
      <c r="Q16" s="594"/>
      <c r="R16" s="592"/>
      <c r="S16" s="592"/>
      <c r="T16" s="592"/>
      <c r="U16" s="592"/>
      <c r="V16" s="592"/>
      <c r="W16" s="595"/>
      <c r="X16" s="592"/>
      <c r="Y16" s="592"/>
      <c r="Z16" s="592"/>
      <c r="AA16" s="592"/>
      <c r="AB16" s="592"/>
      <c r="AC16" s="592"/>
      <c r="AD16" s="592"/>
      <c r="AE16" s="592"/>
      <c r="AF16" s="592"/>
      <c r="AG16" s="592"/>
      <c r="AH16" s="592"/>
      <c r="AI16" s="592"/>
      <c r="AJ16" s="592"/>
      <c r="AK16" s="592"/>
      <c r="AL16" s="592"/>
      <c r="AM16" s="592"/>
      <c r="AN16" s="592"/>
      <c r="AO16" s="592"/>
      <c r="AP16" s="592"/>
      <c r="AQ16" s="592"/>
      <c r="AR16" s="592"/>
      <c r="AS16" s="592"/>
      <c r="AT16" s="592"/>
      <c r="AU16" s="592"/>
      <c r="AV16" s="592"/>
      <c r="AW16" s="592"/>
      <c r="AX16" s="592"/>
      <c r="AY16" s="592"/>
      <c r="AZ16" s="592"/>
      <c r="BA16" s="592"/>
      <c r="BB16" s="592"/>
      <c r="BC16" s="592"/>
      <c r="BD16" s="594"/>
      <c r="BE16" s="592"/>
      <c r="BF16" s="592"/>
      <c r="BG16" s="592"/>
      <c r="BH16" s="592"/>
      <c r="BI16" s="595"/>
      <c r="BJ16" s="592"/>
      <c r="BK16" s="592"/>
    </row>
    <row r="17">
      <c r="A17" s="551" t="s">
        <v>563</v>
      </c>
      <c r="B17" s="561"/>
      <c r="C17" s="561"/>
      <c r="D17" s="561"/>
      <c r="E17" s="582"/>
      <c r="F17" s="582"/>
      <c r="G17" s="582"/>
      <c r="H17" s="582"/>
      <c r="I17" s="582"/>
      <c r="J17" s="582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3"/>
      <c r="X17" s="561"/>
      <c r="Y17" s="561"/>
      <c r="Z17" s="561"/>
      <c r="AA17" s="561"/>
      <c r="AB17" s="561"/>
      <c r="AC17" s="561"/>
      <c r="AD17" s="561"/>
      <c r="AE17" s="561"/>
      <c r="AF17" s="561"/>
      <c r="AG17" s="561"/>
      <c r="AH17" s="561"/>
      <c r="AI17" s="561"/>
      <c r="AJ17" s="561"/>
      <c r="AK17" s="561"/>
      <c r="AL17" s="561"/>
      <c r="AM17" s="561"/>
      <c r="AN17" s="561"/>
      <c r="AO17" s="561"/>
      <c r="AP17" s="561"/>
      <c r="AQ17" s="561"/>
      <c r="AR17" s="561"/>
      <c r="AS17" s="561"/>
      <c r="AT17" s="561"/>
      <c r="AU17" s="561"/>
      <c r="AV17" s="561"/>
      <c r="AW17" s="561"/>
      <c r="AX17" s="561"/>
      <c r="AY17" s="561"/>
      <c r="AZ17" s="561"/>
      <c r="BA17" s="561"/>
      <c r="BB17" s="561"/>
      <c r="BC17" s="561"/>
      <c r="BD17" s="561"/>
      <c r="BE17" s="561"/>
      <c r="BF17" s="584" t="s">
        <v>223</v>
      </c>
      <c r="BG17" s="561"/>
      <c r="BH17" s="561"/>
      <c r="BI17" s="563"/>
      <c r="BJ17" s="561"/>
      <c r="BK17" s="561"/>
    </row>
    <row r="18">
      <c r="A18" s="585" t="s">
        <v>566</v>
      </c>
      <c r="B18" s="586"/>
      <c r="C18" s="586"/>
      <c r="D18" s="586"/>
      <c r="E18" s="587"/>
      <c r="F18" s="588" t="s">
        <v>223</v>
      </c>
      <c r="G18" s="587"/>
      <c r="H18" s="588" t="s">
        <v>223</v>
      </c>
      <c r="I18" s="587"/>
      <c r="J18" s="587"/>
      <c r="K18" s="586"/>
      <c r="L18" s="589" t="s">
        <v>223</v>
      </c>
      <c r="M18" s="586"/>
      <c r="N18" s="586"/>
      <c r="O18" s="589" t="s">
        <v>223</v>
      </c>
      <c r="P18" s="589" t="s">
        <v>223</v>
      </c>
      <c r="Q18" s="586"/>
      <c r="R18" s="586"/>
      <c r="S18" s="586"/>
      <c r="T18" s="586"/>
      <c r="U18" s="586"/>
      <c r="V18" s="586"/>
      <c r="W18" s="590"/>
      <c r="X18" s="586"/>
      <c r="Y18" s="586"/>
      <c r="Z18" s="586"/>
      <c r="AA18" s="586"/>
      <c r="AB18" s="586"/>
      <c r="AC18" s="586"/>
      <c r="AD18" s="586"/>
      <c r="AE18" s="589" t="s">
        <v>223</v>
      </c>
      <c r="AF18" s="586"/>
      <c r="AG18" s="586"/>
      <c r="AH18" s="586"/>
      <c r="AI18" s="586"/>
      <c r="AJ18" s="586"/>
      <c r="AK18" s="586"/>
      <c r="AL18" s="586"/>
      <c r="AM18" s="586"/>
      <c r="AN18" s="586"/>
      <c r="AO18" s="586"/>
      <c r="AP18" s="586"/>
      <c r="AQ18" s="589" t="s">
        <v>223</v>
      </c>
      <c r="AR18" s="586"/>
      <c r="AS18" s="589" t="s">
        <v>223</v>
      </c>
      <c r="AT18" s="586"/>
      <c r="AU18" s="586"/>
      <c r="AV18" s="589" t="s">
        <v>223</v>
      </c>
      <c r="AW18" s="589" t="s">
        <v>223</v>
      </c>
      <c r="AX18" s="586"/>
      <c r="AY18" s="586"/>
      <c r="AZ18" s="586"/>
      <c r="BA18" s="586"/>
      <c r="BB18" s="586"/>
      <c r="BC18" s="586"/>
      <c r="BD18" s="589" t="s">
        <v>223</v>
      </c>
      <c r="BE18" s="586"/>
      <c r="BF18" s="586"/>
      <c r="BG18" s="589" t="s">
        <v>223</v>
      </c>
      <c r="BH18" s="586"/>
      <c r="BI18" s="590"/>
      <c r="BJ18" s="586"/>
      <c r="BK18" s="586"/>
    </row>
    <row r="19">
      <c r="A19" s="551" t="s">
        <v>570</v>
      </c>
      <c r="B19" s="561"/>
      <c r="C19" s="561"/>
      <c r="D19" s="561"/>
      <c r="E19" s="583" t="s">
        <v>223</v>
      </c>
      <c r="F19" s="582"/>
      <c r="G19" s="582"/>
      <c r="H19" s="582"/>
      <c r="I19" s="582"/>
      <c r="J19" s="582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3"/>
      <c r="X19" s="561"/>
      <c r="Y19" s="561"/>
      <c r="Z19" s="561"/>
      <c r="AA19" s="584" t="s">
        <v>223</v>
      </c>
      <c r="AB19" s="561"/>
      <c r="AC19" s="561"/>
      <c r="AD19" s="561"/>
      <c r="AE19" s="561"/>
      <c r="AF19" s="584" t="s">
        <v>223</v>
      </c>
      <c r="AG19" s="561"/>
      <c r="AH19" s="561"/>
      <c r="AI19" s="561"/>
      <c r="AJ19" s="561"/>
      <c r="AK19" s="561"/>
      <c r="AL19" s="561"/>
      <c r="AM19" s="561"/>
      <c r="AN19" s="561"/>
      <c r="AO19" s="584" t="s">
        <v>223</v>
      </c>
      <c r="AP19" s="561"/>
      <c r="AQ19" s="561"/>
      <c r="AR19" s="584" t="s">
        <v>223</v>
      </c>
      <c r="AS19" s="561"/>
      <c r="AT19" s="561"/>
      <c r="AU19" s="561"/>
      <c r="AV19" s="561"/>
      <c r="AW19" s="561"/>
      <c r="AX19" s="561"/>
      <c r="AY19" s="561"/>
      <c r="AZ19" s="561"/>
      <c r="BA19" s="561"/>
      <c r="BB19" s="561"/>
      <c r="BC19" s="561"/>
      <c r="BD19" s="561"/>
      <c r="BE19" s="561"/>
      <c r="BF19" s="561"/>
      <c r="BG19" s="561"/>
      <c r="BH19" s="561"/>
      <c r="BI19" s="563"/>
      <c r="BJ19" s="561"/>
      <c r="BK19" s="561"/>
    </row>
    <row r="20">
      <c r="A20" s="585" t="s">
        <v>571</v>
      </c>
      <c r="B20" s="586"/>
      <c r="C20" s="586"/>
      <c r="D20" s="586"/>
      <c r="E20" s="587"/>
      <c r="F20" s="587"/>
      <c r="G20" s="587"/>
      <c r="H20" s="587"/>
      <c r="I20" s="587"/>
      <c r="J20" s="587"/>
      <c r="K20" s="586"/>
      <c r="L20" s="586"/>
      <c r="M20" s="586"/>
      <c r="N20" s="586"/>
      <c r="O20" s="589" t="s">
        <v>223</v>
      </c>
      <c r="P20" s="586"/>
      <c r="Q20" s="586"/>
      <c r="R20" s="589" t="s">
        <v>225</v>
      </c>
      <c r="S20" s="586"/>
      <c r="T20" s="586"/>
      <c r="U20" s="586"/>
      <c r="V20" s="586"/>
      <c r="W20" s="590"/>
      <c r="X20" s="586"/>
      <c r="Y20" s="586"/>
      <c r="Z20" s="586"/>
      <c r="AA20" s="586"/>
      <c r="AB20" s="586"/>
      <c r="AC20" s="586"/>
      <c r="AD20" s="586"/>
      <c r="AE20" s="586"/>
      <c r="AF20" s="586"/>
      <c r="AG20" s="586"/>
      <c r="AH20" s="589" t="s">
        <v>223</v>
      </c>
      <c r="AI20" s="586"/>
      <c r="AJ20" s="586"/>
      <c r="AK20" s="586"/>
      <c r="AL20" s="586"/>
      <c r="AM20" s="586"/>
      <c r="AN20" s="589" t="s">
        <v>223</v>
      </c>
      <c r="AO20" s="586"/>
      <c r="AP20" s="586"/>
      <c r="AQ20" s="586"/>
      <c r="AR20" s="586"/>
      <c r="AS20" s="586"/>
      <c r="AT20" s="586"/>
      <c r="AU20" s="586"/>
      <c r="AV20" s="586"/>
      <c r="AW20" s="589" t="s">
        <v>223</v>
      </c>
      <c r="AX20" s="586"/>
      <c r="AY20" s="586"/>
      <c r="AZ20" s="586"/>
      <c r="BA20" s="586"/>
      <c r="BB20" s="586"/>
      <c r="BC20" s="586"/>
      <c r="BD20" s="586"/>
      <c r="BE20" s="586"/>
      <c r="BF20" s="586"/>
      <c r="BG20" s="586"/>
      <c r="BH20" s="586"/>
      <c r="BI20" s="590"/>
      <c r="BJ20" s="586"/>
      <c r="BK20" s="586"/>
    </row>
    <row r="21">
      <c r="A21" s="551" t="s">
        <v>576</v>
      </c>
      <c r="B21" s="561"/>
      <c r="C21" s="561"/>
      <c r="D21" s="561"/>
      <c r="E21" s="582"/>
      <c r="F21" s="582"/>
      <c r="G21" s="582"/>
      <c r="H21" s="582"/>
      <c r="I21" s="582"/>
      <c r="J21" s="582"/>
      <c r="K21" s="561"/>
      <c r="L21" s="561"/>
      <c r="M21" s="584" t="s">
        <v>223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3"/>
      <c r="X21" s="584" t="s">
        <v>225</v>
      </c>
      <c r="Y21" s="561"/>
      <c r="Z21" s="584" t="s">
        <v>223</v>
      </c>
      <c r="AA21" s="561"/>
      <c r="AB21" s="561"/>
      <c r="AC21" s="561"/>
      <c r="AD21" s="561"/>
      <c r="AE21" s="561"/>
      <c r="AF21" s="584" t="s">
        <v>223</v>
      </c>
      <c r="AG21" s="561"/>
      <c r="AH21" s="561"/>
      <c r="AI21" s="561"/>
      <c r="AJ21" s="561"/>
      <c r="AK21" s="561"/>
      <c r="AL21" s="561"/>
      <c r="AM21" s="561"/>
      <c r="AN21" s="561"/>
      <c r="AO21" s="561"/>
      <c r="AP21" s="561"/>
      <c r="AQ21" s="561"/>
      <c r="AR21" s="561"/>
      <c r="AS21" s="561"/>
      <c r="AT21" s="561"/>
      <c r="AU21" s="561"/>
      <c r="AV21" s="561"/>
      <c r="AW21" s="561"/>
      <c r="AX21" s="561"/>
      <c r="AY21" s="584" t="s">
        <v>223</v>
      </c>
      <c r="AZ21" s="584" t="s">
        <v>223</v>
      </c>
      <c r="BA21" s="561"/>
      <c r="BB21" s="561"/>
      <c r="BC21" s="561"/>
      <c r="BD21" s="584" t="s">
        <v>223</v>
      </c>
      <c r="BE21" s="584" t="s">
        <v>223</v>
      </c>
      <c r="BF21" s="561"/>
      <c r="BG21" s="561"/>
      <c r="BH21" s="561"/>
      <c r="BI21" s="563"/>
      <c r="BJ21" s="561"/>
      <c r="BK21" s="561"/>
    </row>
    <row r="22">
      <c r="A22" s="596" t="s">
        <v>591</v>
      </c>
      <c r="B22" s="592"/>
      <c r="C22" s="592"/>
      <c r="D22" s="592"/>
      <c r="E22" s="593"/>
      <c r="F22" s="593"/>
      <c r="G22" s="593"/>
      <c r="H22" s="593"/>
      <c r="I22" s="593"/>
      <c r="J22" s="593"/>
      <c r="K22" s="592"/>
      <c r="L22" s="592"/>
      <c r="M22" s="592"/>
      <c r="N22" s="592"/>
      <c r="O22" s="592"/>
      <c r="P22" s="592"/>
      <c r="Q22" s="592"/>
      <c r="R22" s="592"/>
      <c r="S22" s="592"/>
      <c r="T22" s="592"/>
      <c r="U22" s="592"/>
      <c r="V22" s="592"/>
      <c r="W22" s="595"/>
      <c r="X22" s="592"/>
      <c r="Y22" s="592"/>
      <c r="Z22" s="592"/>
      <c r="AA22" s="592"/>
      <c r="AB22" s="592"/>
      <c r="AC22" s="597" t="s">
        <v>223</v>
      </c>
      <c r="AD22" s="592"/>
      <c r="AE22" s="592"/>
      <c r="AF22" s="592"/>
      <c r="AG22" s="592"/>
      <c r="AH22" s="592"/>
      <c r="AI22" s="592"/>
      <c r="AJ22" s="592"/>
      <c r="AK22" s="592"/>
      <c r="AL22" s="592"/>
      <c r="AM22" s="592"/>
      <c r="AN22" s="592"/>
      <c r="AO22" s="592"/>
      <c r="AP22" s="592"/>
      <c r="AQ22" s="592"/>
      <c r="AR22" s="592"/>
      <c r="AS22" s="592"/>
      <c r="AT22" s="592"/>
      <c r="AU22" s="592"/>
      <c r="AV22" s="592"/>
      <c r="AW22" s="592"/>
      <c r="AX22" s="592"/>
      <c r="AY22" s="592"/>
      <c r="AZ22" s="592"/>
      <c r="BA22" s="592"/>
      <c r="BB22" s="592"/>
      <c r="BC22" s="592"/>
      <c r="BD22" s="592"/>
      <c r="BE22" s="592"/>
      <c r="BF22" s="597" t="s">
        <v>223</v>
      </c>
      <c r="BG22" s="592"/>
      <c r="BH22" s="592"/>
      <c r="BI22" s="595"/>
      <c r="BJ22" s="592"/>
      <c r="BK22" s="592"/>
    </row>
    <row r="23">
      <c r="A23" s="551" t="s">
        <v>592</v>
      </c>
      <c r="B23" s="561"/>
      <c r="C23" s="561"/>
      <c r="D23" s="561"/>
      <c r="E23" s="582"/>
      <c r="F23" s="582"/>
      <c r="G23" s="583" t="s">
        <v>223</v>
      </c>
      <c r="H23" s="582"/>
      <c r="I23" s="582"/>
      <c r="J23" s="582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3"/>
      <c r="X23" s="561"/>
      <c r="Y23" s="561"/>
      <c r="Z23" s="561"/>
      <c r="AA23" s="561"/>
      <c r="AB23" s="561"/>
      <c r="AC23" s="561"/>
      <c r="AD23" s="561"/>
      <c r="AE23" s="561"/>
      <c r="AF23" s="561"/>
      <c r="AG23" s="561"/>
      <c r="AH23" s="561"/>
      <c r="AI23" s="561"/>
      <c r="AJ23" s="561"/>
      <c r="AK23" s="561"/>
      <c r="AL23" s="561"/>
      <c r="AM23" s="561"/>
      <c r="AN23" s="561"/>
      <c r="AO23" s="561"/>
      <c r="AP23" s="561"/>
      <c r="AQ23" s="561"/>
      <c r="AR23" s="561"/>
      <c r="AS23" s="561"/>
      <c r="AT23" s="561"/>
      <c r="AU23" s="561"/>
      <c r="AV23" s="561"/>
      <c r="AW23" s="561"/>
      <c r="AX23" s="561"/>
      <c r="AY23" s="561"/>
      <c r="AZ23" s="561"/>
      <c r="BA23" s="561"/>
      <c r="BB23" s="561"/>
      <c r="BC23" s="561"/>
      <c r="BD23" s="561"/>
      <c r="BE23" s="561"/>
      <c r="BF23" s="561"/>
      <c r="BG23" s="561"/>
      <c r="BH23" s="561"/>
      <c r="BI23" s="563"/>
      <c r="BJ23" s="561"/>
      <c r="BK23" s="561"/>
    </row>
    <row r="24">
      <c r="A24" s="585" t="s">
        <v>577</v>
      </c>
      <c r="B24" s="586"/>
      <c r="C24" s="586"/>
      <c r="D24" s="586"/>
      <c r="E24" s="587"/>
      <c r="F24" s="587"/>
      <c r="G24" s="587"/>
      <c r="H24" s="587"/>
      <c r="I24" s="587"/>
      <c r="J24" s="587"/>
      <c r="K24" s="586"/>
      <c r="L24" s="586"/>
      <c r="M24" s="586"/>
      <c r="N24" s="586"/>
      <c r="O24" s="586"/>
      <c r="P24" s="586"/>
      <c r="Q24" s="586"/>
      <c r="R24" s="586"/>
      <c r="S24" s="586"/>
      <c r="T24" s="586"/>
      <c r="U24" s="586"/>
      <c r="V24" s="586"/>
      <c r="W24" s="590"/>
      <c r="X24" s="586"/>
      <c r="Y24" s="586"/>
      <c r="Z24" s="586"/>
      <c r="AA24" s="589" t="s">
        <v>223</v>
      </c>
      <c r="AB24" s="586"/>
      <c r="AC24" s="586"/>
      <c r="AD24" s="586"/>
      <c r="AE24" s="586"/>
      <c r="AF24" s="586"/>
      <c r="AG24" s="586"/>
      <c r="AH24" s="586"/>
      <c r="AI24" s="586"/>
      <c r="AJ24" s="586"/>
      <c r="AK24" s="586"/>
      <c r="AL24" s="586"/>
      <c r="AM24" s="586"/>
      <c r="AN24" s="586"/>
      <c r="AO24" s="586"/>
      <c r="AP24" s="586"/>
      <c r="AQ24" s="586"/>
      <c r="AR24" s="586"/>
      <c r="AS24" s="586"/>
      <c r="AT24" s="586"/>
      <c r="AU24" s="586"/>
      <c r="AV24" s="586"/>
      <c r="AW24" s="586"/>
      <c r="AX24" s="586"/>
      <c r="AY24" s="586"/>
      <c r="AZ24" s="586"/>
      <c r="BA24" s="586"/>
      <c r="BB24" s="586"/>
      <c r="BC24" s="586"/>
      <c r="BD24" s="586"/>
      <c r="BE24" s="586"/>
      <c r="BF24" s="586"/>
      <c r="BG24" s="586"/>
      <c r="BH24" s="586"/>
      <c r="BI24" s="590"/>
      <c r="BJ24" s="586"/>
      <c r="BK24" s="586"/>
    </row>
    <row r="25">
      <c r="A25" s="567" t="s">
        <v>581</v>
      </c>
      <c r="B25" s="552"/>
      <c r="C25" s="552"/>
      <c r="D25" s="552"/>
      <c r="E25" s="598"/>
      <c r="F25" s="598"/>
      <c r="G25" s="598"/>
      <c r="H25" s="598"/>
      <c r="I25" s="598"/>
      <c r="J25" s="598"/>
      <c r="K25" s="552"/>
      <c r="L25" s="552"/>
      <c r="M25" s="552"/>
      <c r="N25" s="552"/>
      <c r="O25" s="552"/>
      <c r="P25" s="552"/>
      <c r="Q25" s="552"/>
      <c r="R25" s="552"/>
      <c r="S25" s="552"/>
      <c r="T25" s="552"/>
      <c r="U25" s="552"/>
      <c r="V25" s="552"/>
      <c r="W25" s="553"/>
      <c r="X25" s="552"/>
      <c r="Y25" s="552"/>
      <c r="Z25" s="552"/>
      <c r="AA25" s="552"/>
      <c r="AB25" s="552"/>
      <c r="AC25" s="552"/>
      <c r="AD25" s="552"/>
      <c r="AE25" s="599" t="s">
        <v>223</v>
      </c>
      <c r="AF25" s="552"/>
      <c r="AG25" s="552"/>
      <c r="AH25" s="552"/>
      <c r="AI25" s="552"/>
      <c r="AJ25" s="552"/>
      <c r="AK25" s="552"/>
      <c r="AL25" s="552"/>
      <c r="AM25" s="552"/>
      <c r="AN25" s="552"/>
      <c r="AO25" s="552"/>
      <c r="AP25" s="552"/>
      <c r="AQ25" s="552"/>
      <c r="AR25" s="552"/>
      <c r="AS25" s="552"/>
      <c r="AT25" s="552"/>
      <c r="AU25" s="552"/>
      <c r="AV25" s="552"/>
      <c r="AW25" s="552"/>
      <c r="AX25" s="552"/>
      <c r="AY25" s="552"/>
      <c r="AZ25" s="552"/>
      <c r="BA25" s="552"/>
      <c r="BB25" s="552"/>
      <c r="BC25" s="552"/>
      <c r="BD25" s="552"/>
      <c r="BE25" s="552"/>
      <c r="BF25" s="552"/>
      <c r="BG25" s="552"/>
      <c r="BH25" s="552"/>
      <c r="BI25" s="553"/>
      <c r="BJ25" s="552"/>
      <c r="BK25" s="552"/>
    </row>
    <row r="26">
      <c r="A26" s="600" t="s">
        <v>345</v>
      </c>
      <c r="B26" s="601" t="s">
        <v>223</v>
      </c>
      <c r="C26" s="578"/>
      <c r="D26" s="578"/>
      <c r="E26" s="602"/>
      <c r="F26" s="603" t="s">
        <v>223</v>
      </c>
      <c r="G26" s="602"/>
      <c r="H26" s="602"/>
      <c r="I26" s="602"/>
      <c r="J26" s="602"/>
      <c r="K26" s="578"/>
      <c r="L26" s="578"/>
      <c r="M26" s="578"/>
      <c r="N26" s="578"/>
      <c r="O26" s="578"/>
      <c r="P26" s="601" t="s">
        <v>223</v>
      </c>
      <c r="Q26" s="578"/>
      <c r="R26" s="578"/>
      <c r="S26" s="578"/>
      <c r="T26" s="578"/>
      <c r="U26" s="578"/>
      <c r="V26" s="578"/>
      <c r="W26" s="579"/>
      <c r="X26" s="578"/>
      <c r="Y26" s="578"/>
      <c r="Z26" s="578"/>
      <c r="AA26" s="578"/>
      <c r="AB26" s="578"/>
      <c r="AC26" s="578"/>
      <c r="AD26" s="578"/>
      <c r="AE26" s="601" t="s">
        <v>223</v>
      </c>
      <c r="AF26" s="601" t="s">
        <v>223</v>
      </c>
      <c r="AG26" s="578"/>
      <c r="AH26" s="578"/>
      <c r="AI26" s="578"/>
      <c r="AJ26" s="578"/>
      <c r="AK26" s="578"/>
      <c r="AL26" s="601" t="s">
        <v>223</v>
      </c>
      <c r="AM26" s="578"/>
      <c r="AN26" s="578"/>
      <c r="AO26" s="601" t="s">
        <v>223</v>
      </c>
      <c r="AP26" s="578"/>
      <c r="AQ26" s="578"/>
      <c r="AR26" s="578"/>
      <c r="AS26" s="578"/>
      <c r="AT26" s="578"/>
      <c r="AU26" s="578"/>
      <c r="AV26" s="578"/>
      <c r="AW26" s="578"/>
      <c r="AX26" s="578"/>
      <c r="AY26" s="578"/>
      <c r="AZ26" s="578"/>
      <c r="BA26" s="578"/>
      <c r="BB26" s="578"/>
      <c r="BC26" s="601" t="s">
        <v>223</v>
      </c>
      <c r="BD26" s="578"/>
      <c r="BE26" s="578"/>
      <c r="BF26" s="578"/>
      <c r="BG26" s="578"/>
      <c r="BH26" s="578"/>
      <c r="BI26" s="604" t="s">
        <v>223</v>
      </c>
      <c r="BJ26" s="578"/>
      <c r="BK26" s="578"/>
    </row>
    <row r="27">
      <c r="A27" s="567" t="s">
        <v>593</v>
      </c>
      <c r="B27" s="552"/>
      <c r="C27" s="552"/>
      <c r="D27" s="552"/>
      <c r="E27" s="111"/>
      <c r="F27" s="111"/>
      <c r="G27" s="111"/>
      <c r="H27" s="111"/>
      <c r="I27" s="111"/>
      <c r="J27" s="111"/>
      <c r="K27" s="552"/>
      <c r="L27" s="552"/>
      <c r="M27" s="552"/>
      <c r="N27" s="552"/>
      <c r="O27" s="599" t="s">
        <v>223</v>
      </c>
      <c r="P27" s="552"/>
      <c r="Q27" s="552"/>
      <c r="R27" s="552"/>
      <c r="S27" s="552"/>
      <c r="T27" s="552"/>
      <c r="U27" s="552"/>
      <c r="V27" s="552"/>
      <c r="W27" s="553"/>
      <c r="X27" s="552"/>
      <c r="Y27" s="552"/>
      <c r="Z27" s="552"/>
      <c r="AA27" s="552"/>
      <c r="AB27" s="552"/>
      <c r="AC27" s="552"/>
      <c r="AD27" s="552"/>
      <c r="AE27" s="552"/>
      <c r="AF27" s="552"/>
      <c r="AG27" s="552"/>
      <c r="AH27" s="552"/>
      <c r="AI27" s="552"/>
      <c r="AJ27" s="552"/>
      <c r="AK27" s="552"/>
      <c r="AL27" s="552"/>
      <c r="AM27" s="552"/>
      <c r="AN27" s="552"/>
      <c r="AO27" s="552"/>
      <c r="AP27" s="552"/>
      <c r="AQ27" s="552"/>
      <c r="AR27" s="552"/>
      <c r="AS27" s="552"/>
      <c r="AT27" s="552"/>
      <c r="AU27" s="552"/>
      <c r="AV27" s="552"/>
      <c r="AW27" s="552"/>
      <c r="AX27" s="552"/>
      <c r="AY27" s="552"/>
      <c r="AZ27" s="552"/>
      <c r="BA27" s="552"/>
      <c r="BB27" s="552"/>
      <c r="BC27" s="552"/>
      <c r="BD27" s="599" t="s">
        <v>223</v>
      </c>
      <c r="BE27" s="552"/>
      <c r="BF27" s="552"/>
      <c r="BG27" s="552"/>
      <c r="BH27" s="552"/>
      <c r="BI27" s="553"/>
      <c r="BJ27" s="552"/>
      <c r="BK27" s="552"/>
    </row>
    <row r="28">
      <c r="A28" s="605"/>
      <c r="B28" s="578"/>
      <c r="C28" s="578"/>
      <c r="D28" s="578"/>
      <c r="E28" s="559"/>
      <c r="F28" s="559"/>
      <c r="G28" s="559"/>
      <c r="H28" s="559"/>
      <c r="I28" s="559"/>
      <c r="J28" s="559"/>
      <c r="K28" s="578"/>
      <c r="L28" s="578"/>
      <c r="M28" s="578"/>
      <c r="N28" s="578"/>
      <c r="O28" s="578"/>
      <c r="P28" s="578"/>
      <c r="Q28" s="578"/>
      <c r="R28" s="578"/>
      <c r="S28" s="578"/>
      <c r="T28" s="578"/>
      <c r="U28" s="578"/>
      <c r="V28" s="578"/>
      <c r="W28" s="579"/>
      <c r="X28" s="578"/>
      <c r="Y28" s="578"/>
      <c r="Z28" s="578"/>
      <c r="AA28" s="578"/>
      <c r="AB28" s="578"/>
      <c r="AC28" s="578"/>
      <c r="AD28" s="578"/>
      <c r="AE28" s="578"/>
      <c r="AF28" s="555"/>
      <c r="AG28" s="578"/>
      <c r="AH28" s="578"/>
      <c r="AI28" s="578"/>
      <c r="AJ28" s="578"/>
      <c r="AK28" s="578"/>
      <c r="AL28" s="578"/>
      <c r="AM28" s="578"/>
      <c r="AN28" s="578"/>
      <c r="AO28" s="578"/>
      <c r="AP28" s="578"/>
      <c r="AQ28" s="578"/>
      <c r="AR28" s="578"/>
      <c r="AS28" s="578"/>
      <c r="AT28" s="578"/>
      <c r="AU28" s="578"/>
      <c r="AV28" s="578"/>
      <c r="AW28" s="578"/>
      <c r="AX28" s="578"/>
      <c r="AY28" s="578"/>
      <c r="AZ28" s="578"/>
      <c r="BA28" s="578"/>
      <c r="BB28" s="578"/>
      <c r="BC28" s="578"/>
      <c r="BD28" s="578"/>
      <c r="BE28" s="578"/>
      <c r="BF28" s="578"/>
      <c r="BG28" s="578"/>
      <c r="BH28" s="578"/>
      <c r="BI28" s="580"/>
      <c r="BJ28" s="578"/>
      <c r="BK28" s="578"/>
    </row>
    <row r="29">
      <c r="A29" s="606" t="s">
        <v>128</v>
      </c>
      <c r="B29" s="607">
        <v>41610.0</v>
      </c>
      <c r="C29" s="578"/>
      <c r="D29" s="578"/>
      <c r="E29" s="559"/>
      <c r="F29" s="559"/>
      <c r="G29" s="559"/>
      <c r="H29" s="559"/>
      <c r="I29" s="559"/>
      <c r="J29" s="559"/>
      <c r="K29" s="578"/>
      <c r="L29" s="578"/>
      <c r="M29" s="578"/>
      <c r="N29" s="578"/>
      <c r="O29" s="578"/>
      <c r="P29" s="578"/>
      <c r="Q29" s="578"/>
      <c r="R29" s="578"/>
      <c r="S29" s="578"/>
      <c r="T29" s="578"/>
      <c r="U29" s="578"/>
      <c r="V29" s="578"/>
      <c r="W29" s="579"/>
      <c r="X29" s="578"/>
      <c r="Y29" s="578"/>
      <c r="Z29" s="578"/>
      <c r="AA29" s="578"/>
      <c r="AB29" s="578"/>
      <c r="AC29" s="578"/>
      <c r="AD29" s="578"/>
      <c r="AE29" s="578"/>
      <c r="AF29" s="555"/>
      <c r="AG29" s="578"/>
      <c r="AH29" s="578"/>
      <c r="AI29" s="578"/>
      <c r="AJ29" s="578"/>
      <c r="AK29" s="578"/>
      <c r="AL29" s="578"/>
      <c r="AM29" s="578"/>
      <c r="AN29" s="578"/>
      <c r="AO29" s="578"/>
      <c r="AP29" s="578"/>
      <c r="AQ29" s="578"/>
      <c r="AR29" s="578"/>
      <c r="AS29" s="578"/>
      <c r="AT29" s="578"/>
      <c r="AU29" s="578"/>
      <c r="AV29" s="578"/>
      <c r="AW29" s="578"/>
      <c r="AX29" s="578"/>
      <c r="AY29" s="578"/>
      <c r="AZ29" s="578"/>
      <c r="BA29" s="578"/>
      <c r="BB29" s="578"/>
      <c r="BC29" s="578"/>
      <c r="BD29" s="578"/>
      <c r="BE29" s="578"/>
      <c r="BF29" s="578"/>
      <c r="BG29" s="578"/>
      <c r="BH29" s="578"/>
      <c r="BI29" s="580"/>
      <c r="BJ29" s="578"/>
      <c r="BK29" s="578"/>
    </row>
  </sheetData>
  <conditionalFormatting sqref="B2:BK29">
    <cfRule type="containsText" dxfId="0" priority="1" operator="containsText" text="A">
      <formula>NOT(ISERROR(SEARCH(("A"),(B2))))</formula>
    </cfRule>
  </conditionalFormatting>
  <conditionalFormatting sqref="B2:BK29">
    <cfRule type="containsText" dxfId="1" priority="2" operator="containsText" text="C">
      <formula>NOT(ISERROR(SEARCH(("C"),(B2))))</formula>
    </cfRule>
  </conditionalFormatting>
  <conditionalFormatting sqref="B2:BK29">
    <cfRule type="containsText" dxfId="1" priority="3" operator="containsText" text="W">
      <formula>NOT(ISERROR(SEARCH(("W"),(B2))))</formula>
    </cfRule>
  </conditionalFormatting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22.86"/>
    <col customWidth="1" min="2" max="2" width="8.86"/>
    <col customWidth="1" min="3" max="3" width="10.0"/>
    <col customWidth="1" min="4" max="4" width="6.14"/>
    <col customWidth="1" min="5" max="5" width="5.29"/>
    <col customWidth="1" min="6" max="6" width="8.43"/>
    <col customWidth="1" min="7" max="7" width="9.0"/>
    <col customWidth="1" min="8" max="8" width="7.57"/>
    <col customWidth="1" min="9" max="9" width="13.57"/>
    <col customWidth="1" min="10" max="10" width="7.43"/>
    <col customWidth="1" min="11" max="11" width="8.14"/>
    <col customWidth="1" min="12" max="12" width="9.57"/>
    <col customWidth="1" min="13" max="13" width="8.86"/>
    <col customWidth="1" min="14" max="14" width="13.71"/>
    <col customWidth="1" min="15" max="15" width="10.71"/>
    <col customWidth="1" min="16" max="16" width="10.0"/>
    <col customWidth="1" min="17" max="17" width="8.57"/>
    <col customWidth="1" min="18" max="18" width="9.0"/>
    <col customWidth="1" min="19" max="19" width="10.86"/>
    <col customWidth="1" min="20" max="20" width="7.57"/>
    <col customWidth="1" min="21" max="21" width="9.29"/>
    <col customWidth="1" min="22" max="22" width="17.0"/>
    <col customWidth="1" min="23" max="23" width="7.71"/>
    <col customWidth="1" min="24" max="24" width="18.57"/>
    <col customWidth="1" min="25" max="25" width="6.57"/>
    <col customWidth="1" min="26" max="26" width="11.57"/>
    <col customWidth="1" min="27" max="27" width="9.86"/>
    <col customWidth="1" min="28" max="29" width="13.43"/>
    <col customWidth="1" min="30" max="30" width="9.43"/>
    <col customWidth="1" min="31" max="31" width="8.57"/>
  </cols>
  <sheetData>
    <row r="1">
      <c r="A1" s="169" t="s">
        <v>130</v>
      </c>
      <c r="B1" s="170" t="s">
        <v>594</v>
      </c>
      <c r="C1" s="170" t="s">
        <v>595</v>
      </c>
      <c r="D1" s="170" t="s">
        <v>596</v>
      </c>
      <c r="E1" s="170" t="s">
        <v>597</v>
      </c>
      <c r="F1" s="170" t="s">
        <v>598</v>
      </c>
      <c r="G1" s="170" t="s">
        <v>599</v>
      </c>
      <c r="H1" s="170" t="s">
        <v>600</v>
      </c>
      <c r="I1" s="170" t="s">
        <v>601</v>
      </c>
      <c r="J1" s="170" t="s">
        <v>602</v>
      </c>
      <c r="K1" s="170" t="s">
        <v>603</v>
      </c>
      <c r="L1" s="170" t="s">
        <v>604</v>
      </c>
      <c r="M1" s="170" t="s">
        <v>605</v>
      </c>
      <c r="N1" s="170" t="s">
        <v>606</v>
      </c>
      <c r="O1" s="170" t="s">
        <v>607</v>
      </c>
      <c r="P1" s="170" t="s">
        <v>608</v>
      </c>
      <c r="Q1" s="170" t="s">
        <v>609</v>
      </c>
      <c r="R1" s="170" t="s">
        <v>610</v>
      </c>
      <c r="S1" s="170" t="s">
        <v>611</v>
      </c>
      <c r="T1" s="170" t="s">
        <v>612</v>
      </c>
      <c r="U1" s="170" t="s">
        <v>613</v>
      </c>
      <c r="V1" s="170" t="s">
        <v>614</v>
      </c>
      <c r="W1" s="170" t="s">
        <v>615</v>
      </c>
      <c r="X1" s="170" t="s">
        <v>616</v>
      </c>
      <c r="Y1" s="170" t="s">
        <v>617</v>
      </c>
      <c r="Z1" s="170" t="s">
        <v>618</v>
      </c>
      <c r="AA1" s="170" t="s">
        <v>619</v>
      </c>
      <c r="AB1" s="170" t="s">
        <v>620</v>
      </c>
      <c r="AC1" s="170" t="s">
        <v>621</v>
      </c>
      <c r="AD1" s="170" t="s">
        <v>622</v>
      </c>
      <c r="AE1" s="170" t="s">
        <v>623</v>
      </c>
    </row>
    <row r="2">
      <c r="A2" s="172">
        <v>2013.0</v>
      </c>
      <c r="B2" s="608"/>
      <c r="C2" s="608"/>
      <c r="D2" s="608"/>
      <c r="E2" s="608"/>
      <c r="F2" s="608"/>
      <c r="G2" s="608"/>
      <c r="H2" s="608"/>
      <c r="I2" s="608"/>
      <c r="J2" s="608"/>
      <c r="K2" s="608"/>
      <c r="L2" s="608"/>
      <c r="M2" s="608"/>
      <c r="N2" s="608"/>
      <c r="O2" s="608"/>
      <c r="P2" s="608"/>
      <c r="Q2" s="608"/>
      <c r="R2" s="608"/>
      <c r="S2" s="608"/>
      <c r="T2" s="608"/>
      <c r="U2" s="608"/>
      <c r="V2" s="608"/>
      <c r="W2" s="608"/>
      <c r="X2" s="608"/>
      <c r="Y2" s="608"/>
      <c r="Z2" s="608"/>
      <c r="AA2" s="608"/>
      <c r="AB2" s="608"/>
      <c r="AC2" s="608"/>
      <c r="AD2" s="608"/>
      <c r="AE2" s="608"/>
    </row>
    <row r="3">
      <c r="A3" s="210" t="s">
        <v>349</v>
      </c>
      <c r="B3" s="609" t="s">
        <v>223</v>
      </c>
      <c r="C3" s="609" t="s">
        <v>223</v>
      </c>
      <c r="D3" s="609" t="s">
        <v>223</v>
      </c>
      <c r="E3" s="610"/>
      <c r="F3" s="610"/>
      <c r="G3" s="609" t="s">
        <v>223</v>
      </c>
      <c r="H3" s="610"/>
      <c r="I3" s="609" t="s">
        <v>223</v>
      </c>
      <c r="J3" s="609" t="s">
        <v>223</v>
      </c>
      <c r="K3" s="610"/>
      <c r="L3" s="610"/>
      <c r="M3" s="610"/>
      <c r="N3" s="610"/>
      <c r="O3" s="610"/>
      <c r="P3" s="610"/>
      <c r="Q3" s="610"/>
      <c r="R3" s="609" t="s">
        <v>223</v>
      </c>
      <c r="S3" s="610"/>
      <c r="T3" s="610"/>
      <c r="U3" s="610"/>
      <c r="V3" s="610"/>
      <c r="W3" s="610"/>
      <c r="X3" s="609" t="s">
        <v>223</v>
      </c>
      <c r="Y3" s="609" t="s">
        <v>223</v>
      </c>
      <c r="Z3" s="610"/>
      <c r="AA3" s="610"/>
      <c r="AB3" s="610"/>
      <c r="AC3" s="610"/>
      <c r="AD3" s="609" t="s">
        <v>223</v>
      </c>
      <c r="AE3" s="610"/>
    </row>
    <row r="4">
      <c r="A4" s="199" t="s">
        <v>624</v>
      </c>
      <c r="B4" s="611"/>
      <c r="C4" s="611"/>
      <c r="D4" s="611"/>
      <c r="E4" s="611"/>
      <c r="F4" s="611"/>
      <c r="G4" s="611"/>
      <c r="H4" s="611"/>
      <c r="I4" s="611"/>
      <c r="J4" s="611"/>
      <c r="K4" s="611"/>
      <c r="L4" s="611"/>
      <c r="M4" s="611"/>
      <c r="N4" s="611"/>
      <c r="O4" s="611"/>
      <c r="P4" s="611"/>
      <c r="Q4" s="611"/>
      <c r="R4" s="611"/>
      <c r="S4" s="611"/>
      <c r="T4" s="611"/>
      <c r="U4" s="612" t="s">
        <v>223</v>
      </c>
      <c r="V4" s="611"/>
      <c r="W4" s="611"/>
      <c r="X4" s="611"/>
      <c r="Y4" s="611"/>
      <c r="Z4" s="611"/>
      <c r="AA4" s="611"/>
      <c r="AB4" s="612" t="s">
        <v>223</v>
      </c>
      <c r="AC4" s="612" t="s">
        <v>223</v>
      </c>
      <c r="AD4" s="611"/>
      <c r="AE4" s="611"/>
    </row>
    <row r="5">
      <c r="A5" s="210" t="s">
        <v>577</v>
      </c>
      <c r="B5" s="610"/>
      <c r="C5" s="610"/>
      <c r="D5" s="610"/>
      <c r="E5" s="609" t="s">
        <v>223</v>
      </c>
      <c r="F5" s="610"/>
      <c r="G5" s="610"/>
      <c r="H5" s="610"/>
      <c r="I5" s="610"/>
      <c r="J5" s="610"/>
      <c r="K5" s="610"/>
      <c r="L5" s="609" t="s">
        <v>223</v>
      </c>
      <c r="M5" s="610"/>
      <c r="N5" s="610"/>
      <c r="O5" s="610"/>
      <c r="P5" s="610"/>
      <c r="Q5" s="610"/>
      <c r="R5" s="610"/>
      <c r="S5" s="610"/>
      <c r="T5" s="609" t="s">
        <v>223</v>
      </c>
      <c r="U5" s="610"/>
      <c r="V5" s="610"/>
      <c r="W5" s="610"/>
      <c r="X5" s="610"/>
      <c r="Y5" s="610"/>
      <c r="Z5" s="609" t="s">
        <v>223</v>
      </c>
      <c r="AA5" s="610"/>
      <c r="AB5" s="610"/>
      <c r="AC5" s="610"/>
      <c r="AD5" s="610"/>
      <c r="AE5" s="610"/>
    </row>
    <row r="6">
      <c r="A6" s="199" t="s">
        <v>581</v>
      </c>
      <c r="B6" s="611"/>
      <c r="C6" s="611"/>
      <c r="D6" s="611"/>
      <c r="E6" s="611"/>
      <c r="F6" s="611"/>
      <c r="G6" s="611"/>
      <c r="H6" s="611"/>
      <c r="I6" s="611"/>
      <c r="J6" s="611"/>
      <c r="K6" s="612" t="s">
        <v>223</v>
      </c>
      <c r="L6" s="611"/>
      <c r="M6" s="611"/>
      <c r="N6" s="611"/>
      <c r="O6" s="612" t="s">
        <v>223</v>
      </c>
      <c r="P6" s="611"/>
      <c r="Q6" s="612" t="s">
        <v>223</v>
      </c>
      <c r="R6" s="611"/>
      <c r="S6" s="611"/>
      <c r="T6" s="611"/>
      <c r="U6" s="204"/>
      <c r="V6" s="612" t="s">
        <v>223</v>
      </c>
      <c r="W6" s="611"/>
      <c r="X6" s="611"/>
      <c r="Y6" s="611"/>
      <c r="Z6" s="611"/>
      <c r="AA6" s="611"/>
      <c r="AB6" s="611"/>
      <c r="AC6" s="611"/>
      <c r="AD6" s="611"/>
      <c r="AE6" s="612" t="s">
        <v>223</v>
      </c>
    </row>
    <row r="7">
      <c r="A7" s="210" t="s">
        <v>625</v>
      </c>
      <c r="B7" s="610"/>
      <c r="C7" s="610"/>
      <c r="D7" s="610"/>
      <c r="E7" s="610"/>
      <c r="F7" s="610"/>
      <c r="G7" s="610"/>
      <c r="H7" s="610"/>
      <c r="I7" s="610"/>
      <c r="J7" s="610"/>
      <c r="K7" s="610"/>
      <c r="L7" s="610"/>
      <c r="M7" s="610"/>
      <c r="N7" s="610"/>
      <c r="O7" s="610"/>
      <c r="P7" s="610"/>
      <c r="Q7" s="610"/>
      <c r="R7" s="610"/>
      <c r="S7" s="610"/>
      <c r="T7" s="610"/>
      <c r="U7" s="209"/>
      <c r="V7" s="610"/>
      <c r="W7" s="610"/>
      <c r="X7" s="610"/>
      <c r="Y7" s="610"/>
      <c r="Z7" s="609" t="s">
        <v>223</v>
      </c>
      <c r="AA7" s="610"/>
      <c r="AB7" s="610"/>
      <c r="AC7" s="610"/>
      <c r="AD7" s="610"/>
      <c r="AE7" s="610"/>
    </row>
    <row r="8">
      <c r="A8" s="199" t="s">
        <v>345</v>
      </c>
      <c r="B8" s="611"/>
      <c r="C8" s="611"/>
      <c r="D8" s="611"/>
      <c r="E8" s="611"/>
      <c r="F8" s="611"/>
      <c r="G8" s="611"/>
      <c r="H8" s="611"/>
      <c r="I8" s="611"/>
      <c r="J8" s="611"/>
      <c r="K8" s="611"/>
      <c r="L8" s="611"/>
      <c r="M8" s="613" t="s">
        <v>223</v>
      </c>
      <c r="N8" s="611"/>
      <c r="O8" s="611"/>
      <c r="P8" s="611"/>
      <c r="Q8" s="611"/>
      <c r="R8" s="611"/>
      <c r="S8" s="611"/>
      <c r="T8" s="611"/>
      <c r="U8" s="613" t="s">
        <v>223</v>
      </c>
      <c r="V8" s="611"/>
      <c r="W8" s="611"/>
      <c r="X8" s="611"/>
      <c r="Y8" s="611"/>
      <c r="Z8" s="611"/>
      <c r="AA8" s="612" t="s">
        <v>223</v>
      </c>
      <c r="AB8" s="611"/>
      <c r="AC8" s="611"/>
      <c r="AD8" s="611"/>
      <c r="AE8" s="611"/>
    </row>
    <row r="9">
      <c r="A9" s="210" t="s">
        <v>593</v>
      </c>
      <c r="B9" s="610"/>
      <c r="C9" s="610"/>
      <c r="D9" s="610"/>
      <c r="E9" s="610"/>
      <c r="F9" s="610"/>
      <c r="G9" s="610"/>
      <c r="H9" s="609" t="s">
        <v>223</v>
      </c>
      <c r="I9" s="610"/>
      <c r="J9" s="609" t="s">
        <v>223</v>
      </c>
      <c r="K9" s="610"/>
      <c r="L9" s="610"/>
      <c r="M9" s="610"/>
      <c r="N9" s="609" t="s">
        <v>223</v>
      </c>
      <c r="O9" s="610"/>
      <c r="P9" s="609" t="s">
        <v>223</v>
      </c>
      <c r="Q9" s="610"/>
      <c r="R9" s="610"/>
      <c r="S9" s="609" t="s">
        <v>223</v>
      </c>
      <c r="T9" s="610"/>
      <c r="U9" s="209"/>
      <c r="V9" s="610"/>
      <c r="W9" s="609" t="s">
        <v>223</v>
      </c>
      <c r="X9" s="610"/>
      <c r="Y9" s="610"/>
      <c r="Z9" s="610"/>
      <c r="AA9" s="610"/>
      <c r="AB9" s="610"/>
      <c r="AC9" s="610"/>
      <c r="AD9" s="610"/>
      <c r="AE9" s="610"/>
    </row>
    <row r="10">
      <c r="A10" s="200"/>
      <c r="B10" s="611"/>
      <c r="C10" s="611"/>
      <c r="D10" s="611"/>
      <c r="E10" s="611"/>
      <c r="F10" s="611"/>
      <c r="G10" s="611"/>
      <c r="H10" s="611"/>
      <c r="I10" s="611"/>
      <c r="J10" s="611"/>
      <c r="K10" s="611"/>
      <c r="L10" s="611"/>
      <c r="M10" s="611"/>
      <c r="N10" s="611"/>
      <c r="O10" s="611"/>
      <c r="P10" s="611"/>
      <c r="Q10" s="611"/>
      <c r="R10" s="611"/>
      <c r="S10" s="611"/>
      <c r="T10" s="611"/>
      <c r="U10" s="204"/>
      <c r="V10" s="611"/>
      <c r="W10" s="611"/>
      <c r="X10" s="611"/>
      <c r="Y10" s="611"/>
      <c r="Z10" s="611"/>
      <c r="AA10" s="611"/>
      <c r="AB10" s="611"/>
      <c r="AC10" s="611"/>
      <c r="AD10" s="611"/>
      <c r="AE10" s="611"/>
    </row>
    <row r="11">
      <c r="A11" s="199" t="s">
        <v>626</v>
      </c>
      <c r="B11" s="611"/>
      <c r="C11" s="611"/>
      <c r="D11" s="611"/>
      <c r="E11" s="611"/>
      <c r="F11" s="611"/>
      <c r="G11" s="611"/>
      <c r="H11" s="611"/>
      <c r="I11" s="611"/>
      <c r="J11" s="611"/>
      <c r="K11" s="611"/>
      <c r="L11" s="611"/>
      <c r="M11" s="611"/>
      <c r="N11" s="611"/>
      <c r="O11" s="611"/>
      <c r="P11" s="611"/>
      <c r="Q11" s="611"/>
      <c r="R11" s="611"/>
      <c r="S11" s="611"/>
      <c r="T11" s="611"/>
      <c r="U11" s="204"/>
      <c r="V11" s="611"/>
      <c r="W11" s="611"/>
      <c r="X11" s="611"/>
      <c r="Y11" s="611"/>
      <c r="Z11" s="611"/>
      <c r="AA11" s="611"/>
      <c r="AB11" s="611"/>
      <c r="AC11" s="611"/>
      <c r="AD11" s="611"/>
      <c r="AE11" s="611"/>
    </row>
  </sheetData>
  <conditionalFormatting sqref="B3:G11">
    <cfRule type="containsText" dxfId="0" priority="1" operator="containsText" text="A">
      <formula>NOT(ISERROR(SEARCH(("A"),(B3))))</formula>
    </cfRule>
  </conditionalFormatting>
  <conditionalFormatting sqref="H2:J11">
    <cfRule type="containsText" dxfId="0" priority="2" operator="containsText" text="A">
      <formula>NOT(ISERROR(SEARCH(("A"),(H2))))</formula>
    </cfRule>
  </conditionalFormatting>
  <conditionalFormatting sqref="K3:M11">
    <cfRule type="containsText" dxfId="0" priority="3" operator="containsText" text="A">
      <formula>NOT(ISERROR(SEARCH(("A"),(K3))))</formula>
    </cfRule>
  </conditionalFormatting>
  <conditionalFormatting sqref="N2:AE11">
    <cfRule type="containsText" dxfId="0" priority="4" operator="containsText" text="A">
      <formula>NOT(ISERROR(SEARCH(("A"),(N2))))</formula>
    </cfRule>
  </conditionalFormatting>
  <conditionalFormatting sqref="H2:J2">
    <cfRule type="containsText" dxfId="1" priority="5" operator="containsText" text="W">
      <formula>NOT(ISERROR(SEARCH(("W"),(H2))))</formula>
    </cfRule>
  </conditionalFormatting>
  <conditionalFormatting sqref="N2:AE2">
    <cfRule type="containsText" dxfId="1" priority="6" operator="containsText" text="W">
      <formula>NOT(ISERROR(SEARCH(("W"),(N2))))</formula>
    </cfRule>
  </conditionalFormatting>
  <conditionalFormatting sqref="H2:J2">
    <cfRule type="containsText" dxfId="1" priority="7" operator="containsText" text="C">
      <formula>NOT(ISERROR(SEARCH(("C"),(H2))))</formula>
    </cfRule>
  </conditionalFormatting>
  <conditionalFormatting sqref="N2:AE2">
    <cfRule type="containsText" dxfId="1" priority="8" operator="containsText" text="C">
      <formula>NOT(ISERROR(SEARCH(("C"),(N2))))</formula>
    </cfRule>
  </conditionalFormatting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24.71"/>
    <col customWidth="1" min="2" max="2" width="22.86"/>
    <col customWidth="1" min="3" max="3" width="13.29"/>
    <col customWidth="1" min="4" max="4" width="19.57"/>
    <col customWidth="1" min="5" max="5" width="17.29"/>
  </cols>
  <sheetData>
    <row r="1">
      <c r="A1" s="614" t="s">
        <v>627</v>
      </c>
      <c r="B1" s="615" t="s">
        <v>628</v>
      </c>
      <c r="C1" s="616" t="s">
        <v>629</v>
      </c>
      <c r="D1" s="616" t="s">
        <v>630</v>
      </c>
      <c r="E1" s="616" t="s">
        <v>631</v>
      </c>
    </row>
    <row r="2">
      <c r="A2" s="65" t="str">
        <f>hyperlink("https://www.google.com/maps?q=Red+Coach+Restaurant,+615+Southwest+Broadway,+Portland,+OR+97205&amp;hl=en&amp;sll=45.519789,-122.679541&amp;sspn=0.010554,0.020299&amp;hq=Red+Coach+Restaurant,&amp;hnear=615+SW+Broadway,+Portland,+Multnomah,+Oregon+97205&amp;t=m&amp;z=16","Portland, Oregon")</f>
        <v>Portland, Oregon</v>
      </c>
      <c r="B2" s="65" t="str">
        <f>hyperlink("http://theredcoach.com/","Red Coach Restaurant")</f>
        <v>Red Coach Restaurant</v>
      </c>
      <c r="C2" s="472">
        <v>41464.0</v>
      </c>
      <c r="D2" s="617">
        <v>0.75</v>
      </c>
      <c r="E2" s="617">
        <v>0.7916666666666666</v>
      </c>
    </row>
    <row r="3">
      <c r="A3" s="12" t="str">
        <f>hyperlink("https://www.google.com/maps?q=Frenetic+Theater,+Navigation+Boulevard,+Houston,+TX,+United+States&amp;hl=en&amp;sll=29.750098,-95.321317&amp;sspn=0.026156,0.040598&amp;oq=frenetic+theater&amp;hq=Frenetic+Theater,&amp;hnear=Navigation+Blvd,+Houston,+Texas&amp;t=m&amp;z=17","Houston, Texas")</f>
        <v>Houston, Texas</v>
      </c>
      <c r="B3" s="12" t="str">
        <f>hyperlink("http://www.freneticore.net/events/534/","FrenetiCore Dance Theater")</f>
        <v>FrenetiCore Dance Theater</v>
      </c>
      <c r="C3" s="485">
        <v>41471.0</v>
      </c>
      <c r="D3" s="618">
        <v>0.7708333333333334</v>
      </c>
      <c r="E3" s="618">
        <v>0.7916666666666666</v>
      </c>
    </row>
    <row r="4">
      <c r="A4" s="489" t="str">
        <f>hyperlink("https://www.google.com/maps?q=unf+student+union&amp;hl=en&amp;sll=37.0625,-95.677068&amp;sspn=48.50801,83.144531&amp;hq=unf+student+union&amp;t=m&amp;z=13&amp;iwloc=A","Jacksonville, Florida")</f>
        <v>Jacksonville, Florida</v>
      </c>
      <c r="B4" s="489" t="str">
        <f>hyperlink("https://www.unf.edu/studentunion/","UNF Coxwell Amphitheatre")</f>
        <v>UNF Coxwell Amphitheatre</v>
      </c>
      <c r="C4" s="490">
        <v>41482.0</v>
      </c>
      <c r="D4" s="619">
        <v>0.6875</v>
      </c>
      <c r="E4" s="617">
        <v>0.7083333333333334</v>
      </c>
    </row>
    <row r="5">
      <c r="A5" s="12" t="str">
        <f>hyperlink("https://www.google.com/maps?q=Middle+East+Restaurant+and+Nightclub,+Massachusetts+Avenue,+Cambridge,+MA,+United+States&amp;hl=en&amp;sll=37.0625,-95.677068&amp;sspn=48.50801,83.144531&amp;oq=the+middle+east+upsta&amp;hq=Middle+East+Restaurant+and+Nightclub,+Massachusetts+Ave"&amp;"nue,+Cambridge,+MA,+United+States&amp;t=m&amp;z=15","Cambridge, Massachusetts")</f>
        <v>Cambridge, Massachusetts</v>
      </c>
      <c r="B5" s="12" t="str">
        <f>hyperlink("http://www.mideastclub.com/","The Middle East (Upstairs)")</f>
        <v>The Middle East (Upstairs)</v>
      </c>
      <c r="C5" s="485">
        <v>41492.0</v>
      </c>
      <c r="D5" s="618">
        <v>0.7291666666666666</v>
      </c>
      <c r="E5" s="618">
        <v>0.7395833333333334</v>
      </c>
    </row>
    <row r="6">
      <c r="A6" s="491"/>
      <c r="B6" s="491"/>
      <c r="C6" s="620"/>
      <c r="D6" s="620"/>
      <c r="E6" s="545"/>
    </row>
    <row r="7">
      <c r="A7" s="621"/>
      <c r="B7" s="621"/>
      <c r="C7" s="622"/>
      <c r="D7" s="622"/>
      <c r="E7" s="623"/>
    </row>
    <row r="8">
      <c r="A8" s="103"/>
      <c r="B8" s="103"/>
      <c r="C8" s="624"/>
      <c r="D8" s="624"/>
      <c r="E8" s="545"/>
    </row>
    <row r="9">
      <c r="A9" s="621"/>
      <c r="B9" s="621"/>
      <c r="C9" s="622"/>
      <c r="D9" s="622"/>
      <c r="E9" s="623"/>
    </row>
    <row r="10">
      <c r="A10" s="625"/>
      <c r="B10" s="625"/>
      <c r="C10" s="626"/>
      <c r="D10" s="626"/>
      <c r="E10" s="545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15.86"/>
    <col customWidth="1" min="2" max="2" width="5.43"/>
    <col customWidth="1" min="3" max="3" width="6.43"/>
    <col customWidth="1" min="4" max="4" width="6.71"/>
    <col customWidth="1" min="5" max="5" width="15.43"/>
    <col customWidth="1" min="6" max="6" width="8.29"/>
    <col customWidth="1" min="7" max="8" width="6.43"/>
    <col customWidth="1" min="9" max="9" width="7.14"/>
    <col customWidth="1" min="10" max="10" width="7.29"/>
    <col customWidth="1" min="11" max="11" width="7.57"/>
    <col customWidth="1" min="12" max="12" width="5.57"/>
    <col customWidth="1" min="13" max="13" width="9.29"/>
    <col customWidth="1" min="14" max="14" width="6.57"/>
    <col customWidth="1" min="15" max="15" width="7.43"/>
    <col customWidth="1" min="16" max="16" width="8.29"/>
    <col customWidth="1" min="17" max="17" width="12.86"/>
    <col customWidth="1" min="18" max="18" width="7.86"/>
    <col customWidth="1" min="19" max="19" width="6.57"/>
    <col customWidth="1" min="20" max="20" width="7.29"/>
    <col customWidth="1" min="21" max="21" width="10.71"/>
    <col customWidth="1" min="22" max="22" width="5.29"/>
    <col customWidth="1" min="23" max="23" width="8.14"/>
    <col customWidth="1" min="24" max="24" width="8.71"/>
    <col customWidth="1" min="25" max="25" width="6.0"/>
    <col customWidth="1" min="26" max="26" width="9.86"/>
    <col customWidth="1" min="27" max="27" width="6.14"/>
    <col customWidth="1" min="28" max="28" width="6.86"/>
    <col customWidth="1" min="29" max="29" width="7.14"/>
    <col customWidth="1" min="30" max="30" width="6.71"/>
    <col customWidth="1" min="31" max="31" width="6.86"/>
    <col customWidth="1" min="32" max="32" width="8.29"/>
    <col customWidth="1" min="33" max="33" width="6.29"/>
    <col customWidth="1" min="34" max="34" width="11.0"/>
    <col customWidth="1" min="35" max="36" width="5.86"/>
    <col customWidth="1" min="37" max="37" width="6.0"/>
    <col customWidth="1" min="38" max="38" width="5.57"/>
    <col customWidth="1" min="39" max="39" width="8.0"/>
    <col customWidth="1" min="40" max="40" width="7.57"/>
    <col customWidth="1" min="41" max="41" width="5.57"/>
    <col customWidth="1" min="42" max="42" width="13.57"/>
    <col customWidth="1" min="43" max="43" width="6.86"/>
    <col customWidth="1" min="44" max="44" width="7.0"/>
    <col customWidth="1" min="45" max="45" width="5.57"/>
    <col customWidth="1" min="46" max="46" width="8.43"/>
    <col customWidth="1" min="47" max="47" width="5.57"/>
    <col customWidth="1" min="48" max="48" width="11.43"/>
    <col customWidth="1" min="49" max="49" width="17.29"/>
    <col customWidth="1" min="50" max="50" width="7.71"/>
    <col customWidth="1" min="51" max="51" width="9.0"/>
    <col customWidth="1" min="52" max="52" width="11.57"/>
    <col customWidth="1" min="53" max="53" width="6.43"/>
    <col customWidth="1" min="54" max="54" width="7.29"/>
    <col customWidth="1" min="55" max="55" width="6.0"/>
    <col customWidth="1" min="56" max="56" width="6.43"/>
    <col customWidth="1" min="57" max="57" width="5.43"/>
    <col customWidth="1" min="58" max="58" width="7.29"/>
    <col customWidth="1" min="59" max="59" width="8.0"/>
    <col customWidth="1" min="60" max="60" width="9.14"/>
    <col customWidth="1" min="61" max="61" width="4.43"/>
    <col customWidth="1" min="62" max="62" width="5.71"/>
    <col customWidth="1" min="63" max="63" width="7.14"/>
    <col customWidth="1" min="64" max="64" width="8.43"/>
    <col customWidth="1" min="65" max="65" width="10.29"/>
    <col customWidth="1" min="66" max="66" width="6.43"/>
    <col customWidth="1" min="67" max="67" width="13.29"/>
    <col customWidth="1" min="68" max="68" width="7.0"/>
    <col customWidth="1" min="69" max="69" width="8.86"/>
    <col customWidth="1" min="70" max="70" width="6.57"/>
    <col customWidth="1" min="71" max="71" width="9.29"/>
    <col customWidth="1" min="72" max="72" width="6.43"/>
    <col customWidth="1" min="73" max="73" width="6.57"/>
    <col customWidth="1" min="74" max="74" width="7.43"/>
    <col customWidth="1" min="75" max="75" width="7.29"/>
    <col customWidth="1" min="76" max="76" width="5.71"/>
    <col customWidth="1" min="77" max="77" width="5.29"/>
    <col customWidth="1" min="78" max="78" width="6.43"/>
    <col customWidth="1" min="79" max="79" width="6.86"/>
    <col customWidth="1" min="80" max="80" width="6.14"/>
    <col customWidth="1" min="81" max="81" width="6.86"/>
    <col customWidth="1" min="82" max="82" width="4.86"/>
    <col customWidth="1" min="83" max="83" width="6.43"/>
  </cols>
  <sheetData>
    <row r="1">
      <c r="A1" s="548" t="s">
        <v>130</v>
      </c>
      <c r="B1" s="549" t="s">
        <v>632</v>
      </c>
      <c r="C1" s="549" t="s">
        <v>633</v>
      </c>
      <c r="D1" s="549" t="s">
        <v>634</v>
      </c>
      <c r="E1" s="549" t="s">
        <v>635</v>
      </c>
      <c r="F1" s="549" t="s">
        <v>636</v>
      </c>
      <c r="G1" s="549" t="s">
        <v>637</v>
      </c>
      <c r="H1" s="549" t="s">
        <v>638</v>
      </c>
      <c r="I1" s="549" t="s">
        <v>639</v>
      </c>
      <c r="J1" s="549" t="s">
        <v>640</v>
      </c>
      <c r="K1" s="549" t="s">
        <v>641</v>
      </c>
      <c r="L1" s="549" t="s">
        <v>642</v>
      </c>
      <c r="M1" s="549" t="s">
        <v>643</v>
      </c>
      <c r="N1" s="549" t="s">
        <v>644</v>
      </c>
      <c r="O1" s="549" t="s">
        <v>645</v>
      </c>
      <c r="P1" s="549" t="s">
        <v>646</v>
      </c>
      <c r="Q1" s="549" t="s">
        <v>647</v>
      </c>
      <c r="R1" s="549" t="s">
        <v>648</v>
      </c>
      <c r="S1" s="549" t="s">
        <v>649</v>
      </c>
      <c r="T1" s="549" t="s">
        <v>650</v>
      </c>
      <c r="U1" s="549" t="s">
        <v>651</v>
      </c>
      <c r="V1" s="549" t="s">
        <v>652</v>
      </c>
      <c r="W1" s="549" t="s">
        <v>653</v>
      </c>
      <c r="X1" s="549" t="s">
        <v>604</v>
      </c>
      <c r="Y1" s="549" t="s">
        <v>654</v>
      </c>
      <c r="Z1" s="549" t="s">
        <v>655</v>
      </c>
      <c r="AA1" s="549" t="s">
        <v>599</v>
      </c>
      <c r="AB1" s="549" t="s">
        <v>165</v>
      </c>
      <c r="AC1" s="549" t="s">
        <v>656</v>
      </c>
      <c r="AD1" s="549" t="s">
        <v>657</v>
      </c>
      <c r="AE1" s="549" t="s">
        <v>658</v>
      </c>
      <c r="AF1" s="549" t="s">
        <v>659</v>
      </c>
      <c r="AG1" s="549" t="s">
        <v>660</v>
      </c>
      <c r="AH1" s="549" t="s">
        <v>661</v>
      </c>
      <c r="AI1" s="549" t="s">
        <v>662</v>
      </c>
      <c r="AJ1" s="549" t="s">
        <v>663</v>
      </c>
      <c r="AK1" s="549" t="s">
        <v>664</v>
      </c>
      <c r="AL1" s="549" t="s">
        <v>665</v>
      </c>
      <c r="AM1" s="549" t="s">
        <v>666</v>
      </c>
      <c r="AN1" s="549" t="s">
        <v>667</v>
      </c>
      <c r="AO1" s="549" t="s">
        <v>668</v>
      </c>
      <c r="AP1" s="549" t="s">
        <v>669</v>
      </c>
      <c r="AQ1" s="549" t="s">
        <v>600</v>
      </c>
      <c r="AR1" s="549" t="s">
        <v>670</v>
      </c>
      <c r="AS1" s="549" t="s">
        <v>671</v>
      </c>
      <c r="AT1" s="549" t="s">
        <v>672</v>
      </c>
      <c r="AU1" s="549" t="s">
        <v>673</v>
      </c>
      <c r="AV1" s="549" t="s">
        <v>674</v>
      </c>
      <c r="AW1" s="549" t="s">
        <v>675</v>
      </c>
      <c r="AX1" s="549" t="s">
        <v>676</v>
      </c>
      <c r="AY1" s="549" t="s">
        <v>677</v>
      </c>
      <c r="AZ1" s="549" t="s">
        <v>678</v>
      </c>
      <c r="BA1" s="549" t="s">
        <v>679</v>
      </c>
      <c r="BB1" s="549" t="s">
        <v>680</v>
      </c>
      <c r="BC1" s="549" t="s">
        <v>681</v>
      </c>
      <c r="BD1" s="549" t="s">
        <v>682</v>
      </c>
      <c r="BE1" s="549" t="s">
        <v>683</v>
      </c>
      <c r="BF1" s="549" t="s">
        <v>684</v>
      </c>
      <c r="BG1" s="549" t="s">
        <v>685</v>
      </c>
      <c r="BH1" s="549" t="s">
        <v>686</v>
      </c>
      <c r="BI1" s="549" t="s">
        <v>687</v>
      </c>
      <c r="BJ1" s="549" t="s">
        <v>688</v>
      </c>
      <c r="BK1" s="549" t="s">
        <v>689</v>
      </c>
      <c r="BL1" s="549" t="s">
        <v>690</v>
      </c>
      <c r="BM1" s="549" t="s">
        <v>691</v>
      </c>
      <c r="BN1" s="549" t="s">
        <v>692</v>
      </c>
      <c r="BO1" s="549" t="s">
        <v>693</v>
      </c>
      <c r="BP1" s="549" t="s">
        <v>694</v>
      </c>
      <c r="BQ1" s="549" t="s">
        <v>695</v>
      </c>
      <c r="BR1" s="549" t="s">
        <v>696</v>
      </c>
      <c r="BS1" s="627"/>
      <c r="BT1" s="627"/>
      <c r="BU1" s="627"/>
      <c r="BV1" s="627"/>
      <c r="BW1" s="627"/>
      <c r="BX1" s="627"/>
      <c r="BY1" s="628"/>
      <c r="BZ1" s="627"/>
      <c r="CA1" s="627"/>
      <c r="CB1" s="627"/>
      <c r="CC1" s="627"/>
      <c r="CD1" s="627"/>
      <c r="CE1" s="627"/>
    </row>
    <row r="2">
      <c r="A2" s="567" t="s">
        <v>537</v>
      </c>
      <c r="B2" s="552"/>
      <c r="C2" s="552"/>
      <c r="D2" s="552"/>
      <c r="E2" s="552"/>
      <c r="F2" s="552"/>
      <c r="G2" s="552"/>
      <c r="H2" s="111"/>
      <c r="I2" s="111"/>
      <c r="J2" s="111"/>
      <c r="K2" s="111"/>
      <c r="L2" s="111"/>
      <c r="M2" s="111"/>
      <c r="N2" s="111"/>
      <c r="O2" s="111"/>
      <c r="P2" s="552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552"/>
      <c r="AW2" s="552"/>
      <c r="AX2" s="552"/>
      <c r="AY2" s="552"/>
      <c r="AZ2" s="552"/>
      <c r="BA2" s="552"/>
      <c r="BB2" s="111"/>
      <c r="BC2" s="111"/>
      <c r="BD2" s="111"/>
      <c r="BE2" s="111"/>
      <c r="BF2" s="111"/>
      <c r="BG2" s="111"/>
      <c r="BH2" s="111"/>
      <c r="BI2" s="552"/>
      <c r="BJ2" s="111"/>
      <c r="BK2" s="111"/>
      <c r="BL2" s="111"/>
      <c r="BM2" s="111"/>
      <c r="BN2" s="111"/>
      <c r="BO2" s="111"/>
      <c r="BP2" s="552"/>
      <c r="BQ2" s="552"/>
      <c r="BR2" s="552"/>
      <c r="BS2" s="552"/>
      <c r="BT2" s="552"/>
      <c r="BU2" s="552"/>
      <c r="BV2" s="552"/>
      <c r="BW2" s="552"/>
      <c r="BX2" s="552"/>
      <c r="BY2" s="553"/>
      <c r="BZ2" s="552"/>
      <c r="CA2" s="552"/>
      <c r="CB2" s="552"/>
      <c r="CC2" s="552"/>
      <c r="CD2" s="552"/>
      <c r="CE2" s="552"/>
    </row>
    <row r="3">
      <c r="A3" s="554" t="s">
        <v>538</v>
      </c>
      <c r="B3" s="555"/>
      <c r="C3" s="555"/>
      <c r="D3" s="555"/>
      <c r="E3" s="555"/>
      <c r="F3" s="555"/>
      <c r="G3" s="556"/>
      <c r="M3" s="559"/>
      <c r="N3" s="560"/>
      <c r="P3" s="556"/>
      <c r="Y3" s="559"/>
      <c r="AA3" s="560"/>
      <c r="AN3" s="560"/>
      <c r="AV3" s="556"/>
      <c r="AW3" s="555"/>
      <c r="AX3" s="555"/>
      <c r="AY3" s="555"/>
      <c r="AZ3" s="555"/>
      <c r="BA3" s="578"/>
      <c r="BG3" s="560"/>
      <c r="BI3" s="556"/>
      <c r="BP3" s="555"/>
      <c r="BQ3" s="555"/>
      <c r="BR3" s="555"/>
      <c r="BS3" s="555"/>
      <c r="BT3" s="555"/>
      <c r="BU3" s="555"/>
      <c r="BV3" s="555"/>
      <c r="BW3" s="555"/>
      <c r="BX3" s="555"/>
      <c r="BY3" s="557"/>
      <c r="BZ3" s="555"/>
      <c r="CA3" s="555"/>
      <c r="CB3" s="555"/>
      <c r="CC3" s="555"/>
      <c r="CD3" s="555"/>
      <c r="CE3" s="555"/>
    </row>
    <row r="4">
      <c r="A4" s="554" t="s">
        <v>539</v>
      </c>
      <c r="B4" s="555"/>
      <c r="C4" s="555"/>
      <c r="D4" s="555"/>
      <c r="E4" s="555"/>
      <c r="F4" s="555"/>
      <c r="G4" s="556"/>
      <c r="M4" s="559"/>
      <c r="N4" s="560"/>
      <c r="P4" s="556"/>
      <c r="Y4" s="559"/>
      <c r="AA4" s="560"/>
      <c r="AN4" s="560"/>
      <c r="AV4" s="556"/>
      <c r="AW4" s="555"/>
      <c r="AX4" s="555"/>
      <c r="AY4" s="555"/>
      <c r="AZ4" s="555"/>
      <c r="BA4" s="578"/>
      <c r="BG4" s="560"/>
      <c r="BI4" s="556"/>
      <c r="BP4" s="555"/>
      <c r="BQ4" s="555"/>
      <c r="BR4" s="555"/>
      <c r="BS4" s="555"/>
      <c r="BT4" s="555"/>
      <c r="BU4" s="555"/>
      <c r="BV4" s="555"/>
      <c r="BW4" s="555"/>
      <c r="BX4" s="555"/>
      <c r="BY4" s="557"/>
      <c r="BZ4" s="555"/>
      <c r="CA4" s="555"/>
      <c r="CB4" s="555"/>
      <c r="CC4" s="555"/>
      <c r="CD4" s="555"/>
      <c r="CE4" s="555"/>
    </row>
    <row r="5">
      <c r="A5" s="554" t="s">
        <v>540</v>
      </c>
      <c r="B5" s="555"/>
      <c r="C5" s="555"/>
      <c r="D5" s="555"/>
      <c r="E5" s="555"/>
      <c r="F5" s="555"/>
      <c r="G5" s="556"/>
      <c r="M5" s="559"/>
      <c r="N5" s="560"/>
      <c r="P5" s="556"/>
      <c r="Y5" s="559"/>
      <c r="AA5" s="560"/>
      <c r="AN5" s="560"/>
      <c r="AV5" s="556"/>
      <c r="AW5" s="555"/>
      <c r="AX5" s="555"/>
      <c r="AY5" s="555"/>
      <c r="AZ5" s="555"/>
      <c r="BA5" s="578"/>
      <c r="BG5" s="560"/>
      <c r="BI5" s="556"/>
      <c r="BP5" s="555"/>
      <c r="BQ5" s="555"/>
      <c r="BR5" s="555"/>
      <c r="BS5" s="555"/>
      <c r="BT5" s="555"/>
      <c r="BU5" s="555"/>
      <c r="BV5" s="555"/>
      <c r="BW5" s="555"/>
      <c r="BX5" s="555"/>
      <c r="BY5" s="557"/>
      <c r="BZ5" s="555"/>
      <c r="CA5" s="555"/>
      <c r="CB5" s="555"/>
      <c r="CC5" s="555"/>
      <c r="CD5" s="555"/>
      <c r="CE5" s="555"/>
    </row>
    <row r="6">
      <c r="A6" s="567" t="s">
        <v>697</v>
      </c>
      <c r="B6" s="552"/>
      <c r="C6" s="552"/>
      <c r="D6" s="552"/>
      <c r="E6" s="552"/>
      <c r="F6" s="552"/>
      <c r="G6" s="552"/>
      <c r="H6" s="111"/>
      <c r="I6" s="111"/>
      <c r="J6" s="111"/>
      <c r="K6" s="111"/>
      <c r="L6" s="111"/>
      <c r="M6" s="111"/>
      <c r="N6" s="111"/>
      <c r="O6" s="111"/>
      <c r="P6" s="552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552"/>
      <c r="AW6" s="552"/>
      <c r="AX6" s="552"/>
      <c r="AY6" s="552"/>
      <c r="AZ6" s="552"/>
      <c r="BA6" s="552"/>
      <c r="BB6" s="111"/>
      <c r="BC6" s="111"/>
      <c r="BD6" s="111"/>
      <c r="BE6" s="111"/>
      <c r="BF6" s="111"/>
      <c r="BG6" s="111"/>
      <c r="BH6" s="111"/>
      <c r="BI6" s="552"/>
      <c r="BJ6" s="111"/>
      <c r="BK6" s="111"/>
      <c r="BL6" s="111"/>
      <c r="BM6" s="111"/>
      <c r="BN6" s="111"/>
      <c r="BO6" s="111"/>
      <c r="BP6" s="552"/>
      <c r="BQ6" s="552"/>
      <c r="BR6" s="552"/>
      <c r="BS6" s="552"/>
      <c r="BT6" s="552"/>
      <c r="BU6" s="552"/>
      <c r="BV6" s="552"/>
      <c r="BW6" s="552"/>
      <c r="BX6" s="552"/>
      <c r="BY6" s="553"/>
      <c r="BZ6" s="552"/>
      <c r="CA6" s="552"/>
      <c r="CB6" s="552"/>
      <c r="CC6" s="552"/>
      <c r="CD6" s="552"/>
      <c r="CE6" s="552"/>
    </row>
    <row r="7">
      <c r="A7" s="554" t="s">
        <v>538</v>
      </c>
      <c r="B7" s="556"/>
      <c r="C7" s="555"/>
      <c r="D7" s="556"/>
      <c r="E7" s="556"/>
      <c r="F7" s="556"/>
      <c r="G7" s="555"/>
      <c r="L7" s="560"/>
      <c r="M7" s="560"/>
      <c r="P7" s="555"/>
      <c r="R7" s="560"/>
      <c r="U7" s="560"/>
      <c r="Z7" s="560"/>
      <c r="AC7" s="560"/>
      <c r="AD7" s="560"/>
      <c r="AF7" s="560"/>
      <c r="AI7" s="560"/>
      <c r="AM7" s="560"/>
      <c r="AO7" s="560"/>
      <c r="AS7" s="560"/>
      <c r="AU7" s="560"/>
      <c r="AV7" s="555"/>
      <c r="AW7" s="555"/>
      <c r="AX7" s="555"/>
      <c r="AY7" s="555"/>
      <c r="AZ7" s="556"/>
      <c r="BA7" s="556"/>
      <c r="BI7" s="555"/>
      <c r="BJ7" s="560"/>
      <c r="BM7" s="560"/>
      <c r="BP7" s="555"/>
      <c r="BQ7" s="555"/>
      <c r="BR7" s="555"/>
      <c r="BS7" s="555"/>
      <c r="BT7" s="555"/>
      <c r="BU7" s="555"/>
      <c r="BV7" s="555"/>
      <c r="BW7" s="555"/>
      <c r="BX7" s="555"/>
      <c r="BY7" s="557"/>
      <c r="BZ7" s="555"/>
      <c r="CA7" s="555"/>
      <c r="CB7" s="555"/>
      <c r="CC7" s="555"/>
      <c r="CD7" s="555"/>
      <c r="CE7" s="555"/>
    </row>
    <row r="8">
      <c r="A8" s="554" t="s">
        <v>539</v>
      </c>
      <c r="B8" s="556"/>
      <c r="C8" s="555"/>
      <c r="D8" s="556"/>
      <c r="E8" s="556"/>
      <c r="F8" s="556"/>
      <c r="G8" s="555"/>
      <c r="L8" s="560"/>
      <c r="M8" s="560"/>
      <c r="P8" s="555"/>
      <c r="R8" s="560"/>
      <c r="U8" s="560"/>
      <c r="Z8" s="560"/>
      <c r="AC8" s="560"/>
      <c r="AD8" s="560"/>
      <c r="AF8" s="560"/>
      <c r="AI8" s="560"/>
      <c r="AM8" s="560"/>
      <c r="AO8" s="560"/>
      <c r="AS8" s="560"/>
      <c r="AU8" s="560"/>
      <c r="AV8" s="555"/>
      <c r="AW8" s="555"/>
      <c r="AX8" s="555"/>
      <c r="AY8" s="555"/>
      <c r="AZ8" s="556"/>
      <c r="BA8" s="556"/>
      <c r="BI8" s="555"/>
      <c r="BJ8" s="560"/>
      <c r="BM8" s="560"/>
      <c r="BP8" s="555"/>
      <c r="BQ8" s="555"/>
      <c r="BR8" s="555"/>
      <c r="BS8" s="555"/>
      <c r="BT8" s="555"/>
      <c r="BU8" s="555"/>
      <c r="BV8" s="555"/>
      <c r="BW8" s="555"/>
      <c r="BX8" s="555"/>
      <c r="BY8" s="557"/>
      <c r="BZ8" s="555"/>
      <c r="CA8" s="555"/>
      <c r="CB8" s="555"/>
      <c r="CC8" s="555"/>
      <c r="CD8" s="555"/>
      <c r="CE8" s="555"/>
    </row>
    <row r="9">
      <c r="A9" s="554" t="s">
        <v>540</v>
      </c>
      <c r="B9" s="556"/>
      <c r="C9" s="555"/>
      <c r="D9" s="556"/>
      <c r="E9" s="556"/>
      <c r="F9" s="556"/>
      <c r="G9" s="555"/>
      <c r="L9" s="560"/>
      <c r="M9" s="560"/>
      <c r="P9" s="555"/>
      <c r="R9" s="560"/>
      <c r="U9" s="560"/>
      <c r="Z9" s="560"/>
      <c r="AC9" s="560"/>
      <c r="AD9" s="560"/>
      <c r="AF9" s="560"/>
      <c r="AI9" s="560"/>
      <c r="AM9" s="560"/>
      <c r="AO9" s="560"/>
      <c r="AS9" s="560"/>
      <c r="AU9" s="560"/>
      <c r="AV9" s="555"/>
      <c r="AW9" s="555"/>
      <c r="AX9" s="555"/>
      <c r="AY9" s="555"/>
      <c r="AZ9" s="556"/>
      <c r="BA9" s="556"/>
      <c r="BI9" s="555"/>
      <c r="BJ9" s="560"/>
      <c r="BM9" s="560"/>
      <c r="BP9" s="555"/>
      <c r="BQ9" s="555"/>
      <c r="BR9" s="555"/>
      <c r="BS9" s="555"/>
      <c r="BT9" s="555"/>
      <c r="BU9" s="555"/>
      <c r="BV9" s="555"/>
      <c r="BW9" s="555"/>
      <c r="BX9" s="555"/>
      <c r="BY9" s="557"/>
      <c r="BZ9" s="555"/>
      <c r="CA9" s="555"/>
      <c r="CB9" s="555"/>
      <c r="CC9" s="555"/>
      <c r="CD9" s="555"/>
      <c r="CE9" s="555"/>
    </row>
    <row r="10">
      <c r="A10" s="567" t="s">
        <v>476</v>
      </c>
      <c r="B10" s="552"/>
      <c r="C10" s="552"/>
      <c r="D10" s="552"/>
      <c r="E10" s="552"/>
      <c r="F10" s="552"/>
      <c r="G10" s="552"/>
      <c r="H10" s="111"/>
      <c r="I10" s="111"/>
      <c r="J10" s="111"/>
      <c r="K10" s="111"/>
      <c r="L10" s="111"/>
      <c r="M10" s="111"/>
      <c r="N10" s="111"/>
      <c r="O10" s="111"/>
      <c r="P10" s="552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552"/>
      <c r="AW10" s="552"/>
      <c r="AX10" s="552"/>
      <c r="AY10" s="552"/>
      <c r="AZ10" s="552"/>
      <c r="BA10" s="552"/>
      <c r="BB10" s="111"/>
      <c r="BC10" s="111"/>
      <c r="BD10" s="111"/>
      <c r="BE10" s="111"/>
      <c r="BF10" s="111"/>
      <c r="BG10" s="111"/>
      <c r="BH10" s="111"/>
      <c r="BI10" s="552"/>
      <c r="BJ10" s="111"/>
      <c r="BK10" s="111"/>
      <c r="BL10" s="111"/>
      <c r="BM10" s="111"/>
      <c r="BN10" s="111"/>
      <c r="BO10" s="111"/>
      <c r="BP10" s="552"/>
      <c r="BQ10" s="552"/>
      <c r="BR10" s="552"/>
      <c r="BS10" s="552"/>
      <c r="BT10" s="552"/>
      <c r="BU10" s="552"/>
      <c r="BV10" s="552"/>
      <c r="BW10" s="552"/>
      <c r="BX10" s="552"/>
      <c r="BY10" s="553"/>
      <c r="BZ10" s="552"/>
      <c r="CA10" s="552"/>
      <c r="CB10" s="552"/>
      <c r="CC10" s="552"/>
      <c r="CD10" s="552"/>
      <c r="CE10" s="552"/>
    </row>
    <row r="11">
      <c r="A11" s="554" t="s">
        <v>541</v>
      </c>
      <c r="B11" s="555"/>
      <c r="C11" s="556"/>
      <c r="D11" s="555"/>
      <c r="E11" s="555"/>
      <c r="F11" s="555"/>
      <c r="G11" s="555"/>
      <c r="H11" s="560"/>
      <c r="I11" s="560"/>
      <c r="K11" s="560"/>
      <c r="O11" s="560"/>
      <c r="P11" s="555"/>
      <c r="Q11" s="560"/>
      <c r="T11" s="560"/>
      <c r="Y11" s="560"/>
      <c r="AB11" s="560"/>
      <c r="AH11" s="560"/>
      <c r="AJ11" s="560"/>
      <c r="AV11" s="555"/>
      <c r="AW11" s="555"/>
      <c r="AX11" s="555"/>
      <c r="AY11" s="555"/>
      <c r="AZ11" s="555"/>
      <c r="BA11" s="555"/>
      <c r="BD11" s="560"/>
      <c r="BI11" s="555"/>
      <c r="BL11" s="560"/>
      <c r="BP11" s="556"/>
      <c r="BQ11" s="555"/>
      <c r="BR11" s="555"/>
      <c r="BS11" s="555"/>
      <c r="BT11" s="555"/>
      <c r="BU11" s="555"/>
      <c r="BV11" s="555"/>
      <c r="BW11" s="555"/>
      <c r="BX11" s="555"/>
      <c r="BY11" s="557"/>
      <c r="BZ11" s="555"/>
      <c r="CA11" s="555"/>
      <c r="CB11" s="555"/>
      <c r="CC11" s="555"/>
      <c r="CD11" s="555"/>
      <c r="CE11" s="555"/>
    </row>
    <row r="12">
      <c r="A12" s="554" t="s">
        <v>542</v>
      </c>
      <c r="B12" s="555"/>
      <c r="C12" s="556"/>
      <c r="D12" s="555"/>
      <c r="E12" s="555"/>
      <c r="F12" s="555"/>
      <c r="G12" s="555"/>
      <c r="H12" s="560"/>
      <c r="I12" s="560"/>
      <c r="K12" s="560"/>
      <c r="O12" s="560"/>
      <c r="P12" s="555"/>
      <c r="Q12" s="560"/>
      <c r="T12" s="560"/>
      <c r="Y12" s="560"/>
      <c r="AB12" s="560"/>
      <c r="AH12" s="560"/>
      <c r="AJ12" s="560"/>
      <c r="AV12" s="555"/>
      <c r="AW12" s="555"/>
      <c r="AX12" s="555"/>
      <c r="AY12" s="555"/>
      <c r="AZ12" s="555"/>
      <c r="BA12" s="555"/>
      <c r="BD12" s="560"/>
      <c r="BI12" s="555"/>
      <c r="BL12" s="560"/>
      <c r="BP12" s="556"/>
      <c r="BQ12" s="555"/>
      <c r="BR12" s="555"/>
      <c r="BS12" s="555"/>
      <c r="BT12" s="555"/>
      <c r="BU12" s="555"/>
      <c r="BV12" s="555"/>
      <c r="BW12" s="555"/>
      <c r="BX12" s="555"/>
      <c r="BY12" s="557"/>
      <c r="BZ12" s="555"/>
      <c r="CA12" s="555"/>
      <c r="CB12" s="555"/>
      <c r="CC12" s="555"/>
      <c r="CD12" s="555"/>
      <c r="CE12" s="555"/>
    </row>
    <row r="13">
      <c r="A13" s="554" t="s">
        <v>543</v>
      </c>
      <c r="B13" s="555"/>
      <c r="C13" s="556"/>
      <c r="D13" s="555"/>
      <c r="E13" s="555"/>
      <c r="F13" s="555"/>
      <c r="G13" s="555"/>
      <c r="H13" s="560"/>
      <c r="I13" s="560"/>
      <c r="K13" s="560"/>
      <c r="O13" s="560"/>
      <c r="P13" s="555"/>
      <c r="Q13" s="560"/>
      <c r="T13" s="560"/>
      <c r="Y13" s="560"/>
      <c r="AB13" s="560"/>
      <c r="AH13" s="560"/>
      <c r="AJ13" s="560"/>
      <c r="AV13" s="555"/>
      <c r="AW13" s="555"/>
      <c r="AX13" s="555"/>
      <c r="AY13" s="555"/>
      <c r="AZ13" s="555"/>
      <c r="BA13" s="555"/>
      <c r="BD13" s="560"/>
      <c r="BI13" s="555"/>
      <c r="BL13" s="560"/>
      <c r="BP13" s="556"/>
      <c r="BQ13" s="555"/>
      <c r="BR13" s="555"/>
      <c r="BS13" s="555"/>
      <c r="BT13" s="555"/>
      <c r="BU13" s="555"/>
      <c r="BV13" s="555"/>
      <c r="BW13" s="555"/>
      <c r="BX13" s="555"/>
      <c r="BY13" s="557"/>
      <c r="BZ13" s="555"/>
      <c r="CA13" s="555"/>
      <c r="CB13" s="555"/>
      <c r="CC13" s="555"/>
      <c r="CD13" s="555"/>
      <c r="CE13" s="555"/>
    </row>
    <row r="14">
      <c r="A14" s="576" t="s">
        <v>544</v>
      </c>
      <c r="B14" s="552"/>
      <c r="C14" s="552"/>
      <c r="D14" s="552"/>
      <c r="E14" s="552"/>
      <c r="F14" s="552"/>
      <c r="G14" s="552"/>
      <c r="H14" s="111"/>
      <c r="I14" s="111"/>
      <c r="J14" s="111"/>
      <c r="K14" s="111"/>
      <c r="L14" s="111"/>
      <c r="M14" s="111"/>
      <c r="N14" s="111"/>
      <c r="O14" s="111"/>
      <c r="P14" s="552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552"/>
      <c r="AW14" s="552"/>
      <c r="AX14" s="552"/>
      <c r="AY14" s="552"/>
      <c r="AZ14" s="552"/>
      <c r="BA14" s="552"/>
      <c r="BB14" s="111"/>
      <c r="BC14" s="111"/>
      <c r="BD14" s="111"/>
      <c r="BE14" s="111"/>
      <c r="BF14" s="111"/>
      <c r="BG14" s="111"/>
      <c r="BH14" s="111"/>
      <c r="BI14" s="552"/>
      <c r="BJ14" s="111"/>
      <c r="BK14" s="111"/>
      <c r="BL14" s="111"/>
      <c r="BM14" s="111"/>
      <c r="BN14" s="111"/>
      <c r="BO14" s="111"/>
      <c r="BP14" s="552"/>
      <c r="BQ14" s="552"/>
      <c r="BR14" s="552"/>
      <c r="BS14" s="552"/>
      <c r="BT14" s="552"/>
      <c r="BU14" s="552"/>
      <c r="BV14" s="552"/>
      <c r="BW14" s="552"/>
      <c r="BX14" s="552"/>
      <c r="BY14" s="553"/>
      <c r="BZ14" s="552"/>
      <c r="CA14" s="552"/>
      <c r="CB14" s="552"/>
      <c r="CC14" s="552"/>
      <c r="CD14" s="552"/>
      <c r="CE14" s="552"/>
    </row>
    <row r="15">
      <c r="A15" s="554" t="s">
        <v>545</v>
      </c>
      <c r="B15" s="555"/>
      <c r="C15" s="555"/>
      <c r="D15" s="555"/>
      <c r="E15" s="555"/>
      <c r="F15" s="555"/>
      <c r="G15" s="555"/>
      <c r="P15" s="555"/>
      <c r="R15" s="560"/>
      <c r="S15" s="560"/>
      <c r="AE15" s="560"/>
      <c r="AJ15" s="560"/>
      <c r="AK15" s="560"/>
      <c r="AV15" s="555"/>
      <c r="AW15" s="555"/>
      <c r="AX15" s="555"/>
      <c r="AY15" s="555"/>
      <c r="AZ15" s="555"/>
      <c r="BA15" s="555"/>
      <c r="BE15" s="560"/>
      <c r="BG15" s="560"/>
      <c r="BI15" s="555"/>
      <c r="BO15" s="560"/>
      <c r="BP15" s="555"/>
      <c r="BQ15" s="555"/>
      <c r="BR15" s="555"/>
      <c r="BS15" s="555"/>
      <c r="BT15" s="555"/>
      <c r="BU15" s="555"/>
      <c r="BV15" s="555"/>
      <c r="BW15" s="555"/>
      <c r="BX15" s="555"/>
      <c r="BY15" s="557"/>
      <c r="BZ15" s="555"/>
      <c r="CA15" s="555"/>
      <c r="CB15" s="555"/>
      <c r="CC15" s="555"/>
      <c r="CD15" s="555"/>
      <c r="CE15" s="555"/>
    </row>
    <row r="16">
      <c r="A16" s="554" t="s">
        <v>547</v>
      </c>
      <c r="B16" s="555"/>
      <c r="C16" s="555"/>
      <c r="D16" s="555"/>
      <c r="E16" s="555"/>
      <c r="F16" s="555"/>
      <c r="G16" s="555"/>
      <c r="P16" s="555"/>
      <c r="R16" s="560"/>
      <c r="S16" s="560"/>
      <c r="AE16" s="560"/>
      <c r="AJ16" s="560"/>
      <c r="AK16" s="560"/>
      <c r="AV16" s="555"/>
      <c r="AW16" s="555"/>
      <c r="AX16" s="555"/>
      <c r="AY16" s="555"/>
      <c r="AZ16" s="555"/>
      <c r="BA16" s="555"/>
      <c r="BE16" s="560"/>
      <c r="BG16" s="560"/>
      <c r="BI16" s="555"/>
      <c r="BO16" s="560"/>
      <c r="BP16" s="555"/>
      <c r="BQ16" s="555"/>
      <c r="BR16" s="555"/>
      <c r="BS16" s="555"/>
      <c r="BT16" s="555"/>
      <c r="BU16" s="555"/>
      <c r="BV16" s="555"/>
      <c r="BW16" s="555"/>
      <c r="BX16" s="555"/>
      <c r="BY16" s="557"/>
      <c r="BZ16" s="555"/>
      <c r="CA16" s="555"/>
      <c r="CB16" s="555"/>
      <c r="CC16" s="555"/>
      <c r="CD16" s="555"/>
      <c r="CE16" s="555"/>
    </row>
    <row r="17">
      <c r="A17" s="554" t="s">
        <v>548</v>
      </c>
      <c r="B17" s="555"/>
      <c r="C17" s="555"/>
      <c r="D17" s="555"/>
      <c r="E17" s="555"/>
      <c r="F17" s="555"/>
      <c r="G17" s="555"/>
      <c r="P17" s="555"/>
      <c r="R17" s="560"/>
      <c r="S17" s="560"/>
      <c r="AE17" s="560"/>
      <c r="AJ17" s="560"/>
      <c r="AK17" s="560"/>
      <c r="AV17" s="555"/>
      <c r="AW17" s="555"/>
      <c r="AX17" s="555"/>
      <c r="AY17" s="555"/>
      <c r="AZ17" s="555"/>
      <c r="BA17" s="555"/>
      <c r="BE17" s="560"/>
      <c r="BG17" s="560"/>
      <c r="BI17" s="555"/>
      <c r="BO17" s="560"/>
      <c r="BP17" s="555"/>
      <c r="BQ17" s="555"/>
      <c r="BR17" s="555"/>
      <c r="BS17" s="555"/>
      <c r="BT17" s="555"/>
      <c r="BU17" s="555"/>
      <c r="BV17" s="555"/>
      <c r="BW17" s="555"/>
      <c r="BX17" s="555"/>
      <c r="BY17" s="557"/>
      <c r="BZ17" s="555"/>
      <c r="CA17" s="555"/>
      <c r="CB17" s="555"/>
      <c r="CC17" s="555"/>
      <c r="CD17" s="555"/>
      <c r="CE17" s="555"/>
    </row>
    <row r="18">
      <c r="A18" s="567" t="s">
        <v>549</v>
      </c>
      <c r="B18" s="552"/>
      <c r="C18" s="552"/>
      <c r="D18" s="552"/>
      <c r="E18" s="552"/>
      <c r="F18" s="552"/>
      <c r="G18" s="552"/>
      <c r="H18" s="111"/>
      <c r="I18" s="111"/>
      <c r="J18" s="111"/>
      <c r="K18" s="111"/>
      <c r="L18" s="111"/>
      <c r="M18" s="111"/>
      <c r="N18" s="111"/>
      <c r="O18" s="111"/>
      <c r="P18" s="552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552"/>
      <c r="AW18" s="552"/>
      <c r="AX18" s="552"/>
      <c r="AY18" s="552"/>
      <c r="AZ18" s="552"/>
      <c r="BA18" s="552"/>
      <c r="BB18" s="111"/>
      <c r="BC18" s="111"/>
      <c r="BD18" s="111"/>
      <c r="BE18" s="111"/>
      <c r="BF18" s="111"/>
      <c r="BG18" s="111"/>
      <c r="BH18" s="111"/>
      <c r="BI18" s="552"/>
      <c r="BJ18" s="111"/>
      <c r="BK18" s="111"/>
      <c r="BL18" s="111"/>
      <c r="BM18" s="111"/>
      <c r="BN18" s="111"/>
      <c r="BO18" s="111"/>
      <c r="BP18" s="552"/>
      <c r="BQ18" s="552"/>
      <c r="BR18" s="552"/>
      <c r="BS18" s="552"/>
      <c r="BT18" s="552"/>
      <c r="BU18" s="552"/>
      <c r="BV18" s="552"/>
      <c r="BW18" s="552"/>
      <c r="BX18" s="552"/>
      <c r="BY18" s="553"/>
      <c r="BZ18" s="552"/>
      <c r="CA18" s="552"/>
      <c r="CB18" s="552"/>
      <c r="CC18" s="552"/>
      <c r="CD18" s="552"/>
      <c r="CE18" s="552"/>
    </row>
    <row r="19">
      <c r="A19" s="554" t="s">
        <v>550</v>
      </c>
      <c r="B19" s="555"/>
      <c r="C19" s="555"/>
      <c r="D19" s="555"/>
      <c r="E19" s="555"/>
      <c r="F19" s="555"/>
      <c r="G19" s="555"/>
      <c r="H19" s="560"/>
      <c r="J19" s="560"/>
      <c r="N19" s="560"/>
      <c r="P19" s="555"/>
      <c r="R19" s="560"/>
      <c r="S19" s="560"/>
      <c r="V19" s="560"/>
      <c r="W19" s="560"/>
      <c r="X19" s="560"/>
      <c r="AA19" s="560"/>
      <c r="AG19" s="560"/>
      <c r="AH19" s="560"/>
      <c r="AL19" s="560"/>
      <c r="AO19" s="560"/>
      <c r="AP19" s="560"/>
      <c r="AQ19" s="560"/>
      <c r="AR19" s="560"/>
      <c r="AT19" s="560"/>
      <c r="AV19" s="556"/>
      <c r="AW19" s="556"/>
      <c r="AX19" s="556"/>
      <c r="AY19" s="556"/>
      <c r="AZ19" s="555"/>
      <c r="BA19" s="555"/>
      <c r="BB19" s="560"/>
      <c r="BC19" s="560"/>
      <c r="BF19" s="560"/>
      <c r="BG19" s="560"/>
      <c r="BH19" s="560"/>
      <c r="BI19" s="555"/>
      <c r="BK19" s="560"/>
      <c r="BN19" s="560"/>
      <c r="BP19" s="556"/>
      <c r="BQ19" s="556"/>
      <c r="BR19" s="556"/>
      <c r="BS19" s="555"/>
      <c r="BT19" s="555"/>
      <c r="BU19" s="555"/>
      <c r="BV19" s="555"/>
      <c r="BW19" s="555"/>
      <c r="BX19" s="555"/>
      <c r="BY19" s="557"/>
      <c r="BZ19" s="555"/>
      <c r="CA19" s="555"/>
      <c r="CB19" s="555"/>
      <c r="CC19" s="555"/>
      <c r="CD19" s="555"/>
      <c r="CE19" s="555"/>
    </row>
    <row r="20">
      <c r="A20" s="554" t="s">
        <v>551</v>
      </c>
      <c r="B20" s="555"/>
      <c r="C20" s="555"/>
      <c r="D20" s="555"/>
      <c r="E20" s="555"/>
      <c r="F20" s="555"/>
      <c r="G20" s="555"/>
      <c r="H20" s="560"/>
      <c r="J20" s="560"/>
      <c r="N20" s="560"/>
      <c r="P20" s="555"/>
      <c r="R20" s="560"/>
      <c r="S20" s="560"/>
      <c r="V20" s="560"/>
      <c r="W20" s="560"/>
      <c r="X20" s="560"/>
      <c r="AA20" s="560"/>
      <c r="AG20" s="560"/>
      <c r="AH20" s="560"/>
      <c r="AL20" s="560"/>
      <c r="AO20" s="560"/>
      <c r="AP20" s="560"/>
      <c r="AQ20" s="560"/>
      <c r="AR20" s="560"/>
      <c r="AT20" s="560"/>
      <c r="AV20" s="556"/>
      <c r="AW20" s="556"/>
      <c r="AX20" s="556"/>
      <c r="AY20" s="556"/>
      <c r="AZ20" s="555"/>
      <c r="BA20" s="555"/>
      <c r="BB20" s="560"/>
      <c r="BC20" s="560"/>
      <c r="BF20" s="560"/>
      <c r="BG20" s="560"/>
      <c r="BH20" s="560"/>
      <c r="BI20" s="555"/>
      <c r="BK20" s="560"/>
      <c r="BN20" s="560"/>
      <c r="BP20" s="556"/>
      <c r="BQ20" s="556"/>
      <c r="BR20" s="556"/>
      <c r="BS20" s="555"/>
      <c r="BT20" s="555"/>
      <c r="BU20" s="555"/>
      <c r="BV20" s="555"/>
      <c r="BW20" s="555"/>
      <c r="BX20" s="555"/>
      <c r="BY20" s="557"/>
      <c r="BZ20" s="555"/>
      <c r="CA20" s="555"/>
      <c r="CB20" s="555"/>
      <c r="CC20" s="555"/>
      <c r="CD20" s="555"/>
      <c r="CE20" s="555"/>
    </row>
    <row r="21">
      <c r="A21" s="554" t="s">
        <v>552</v>
      </c>
      <c r="B21" s="555"/>
      <c r="C21" s="555"/>
      <c r="D21" s="555"/>
      <c r="E21" s="555"/>
      <c r="F21" s="555"/>
      <c r="G21" s="555"/>
      <c r="H21" s="560"/>
      <c r="J21" s="560"/>
      <c r="N21" s="560"/>
      <c r="P21" s="555"/>
      <c r="R21" s="560"/>
      <c r="S21" s="560"/>
      <c r="V21" s="560"/>
      <c r="W21" s="560"/>
      <c r="X21" s="560"/>
      <c r="AA21" s="560"/>
      <c r="AG21" s="560"/>
      <c r="AH21" s="560"/>
      <c r="AL21" s="560"/>
      <c r="AO21" s="560"/>
      <c r="AP21" s="560"/>
      <c r="AQ21" s="560"/>
      <c r="AR21" s="560"/>
      <c r="AT21" s="560"/>
      <c r="AV21" s="556"/>
      <c r="AW21" s="556"/>
      <c r="AX21" s="556"/>
      <c r="AY21" s="556"/>
      <c r="AZ21" s="555"/>
      <c r="BA21" s="555"/>
      <c r="BB21" s="560"/>
      <c r="BC21" s="560"/>
      <c r="BF21" s="560"/>
      <c r="BG21" s="560"/>
      <c r="BH21" s="560"/>
      <c r="BI21" s="555"/>
      <c r="BK21" s="560"/>
      <c r="BN21" s="560"/>
      <c r="BP21" s="556"/>
      <c r="BQ21" s="556"/>
      <c r="BR21" s="556"/>
      <c r="BS21" s="555"/>
      <c r="BT21" s="555"/>
      <c r="BU21" s="555"/>
      <c r="BV21" s="555"/>
      <c r="BW21" s="555"/>
      <c r="BX21" s="555"/>
      <c r="BY21" s="557"/>
      <c r="BZ21" s="555"/>
      <c r="CA21" s="555"/>
      <c r="CB21" s="555"/>
      <c r="CC21" s="555"/>
      <c r="CD21" s="555"/>
      <c r="CE21" s="555"/>
    </row>
    <row r="22">
      <c r="A22" s="629"/>
      <c r="B22" s="552"/>
      <c r="C22" s="552"/>
      <c r="D22" s="552"/>
      <c r="E22" s="552"/>
      <c r="F22" s="552"/>
      <c r="G22" s="552"/>
      <c r="H22" s="111"/>
      <c r="I22" s="111"/>
      <c r="J22" s="111"/>
      <c r="K22" s="111"/>
      <c r="L22" s="111"/>
      <c r="M22" s="111"/>
      <c r="N22" s="111"/>
      <c r="O22" s="111"/>
      <c r="P22" s="552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552"/>
      <c r="AW22" s="552"/>
      <c r="AX22" s="552"/>
      <c r="AY22" s="552"/>
      <c r="AZ22" s="552"/>
      <c r="BA22" s="552"/>
      <c r="BB22" s="111"/>
      <c r="BC22" s="111"/>
      <c r="BD22" s="111"/>
      <c r="BE22" s="111"/>
      <c r="BF22" s="111"/>
      <c r="BG22" s="111"/>
      <c r="BH22" s="111"/>
      <c r="BI22" s="552"/>
      <c r="BJ22" s="111"/>
      <c r="BK22" s="111"/>
      <c r="BL22" s="111"/>
      <c r="BM22" s="111"/>
      <c r="BN22" s="111"/>
      <c r="BO22" s="111"/>
      <c r="BP22" s="552"/>
      <c r="BQ22" s="552"/>
      <c r="BR22" s="552"/>
      <c r="BS22" s="552"/>
      <c r="BT22" s="552"/>
      <c r="BU22" s="552"/>
      <c r="BV22" s="552"/>
      <c r="BW22" s="552"/>
      <c r="BX22" s="552"/>
      <c r="BY22" s="553"/>
      <c r="BZ22" s="552"/>
      <c r="CA22" s="552"/>
      <c r="CB22" s="552"/>
      <c r="CC22" s="552"/>
      <c r="CD22" s="552"/>
      <c r="CE22" s="552"/>
    </row>
    <row r="23">
      <c r="A23" s="630"/>
      <c r="B23" s="555"/>
      <c r="C23" s="555"/>
      <c r="D23" s="555"/>
      <c r="E23" s="555"/>
      <c r="F23" s="555"/>
      <c r="G23" s="555"/>
      <c r="P23" s="555"/>
      <c r="AV23" s="555"/>
      <c r="AW23" s="555"/>
      <c r="AX23" s="555"/>
      <c r="AY23" s="555"/>
      <c r="AZ23" s="555"/>
      <c r="BA23" s="555"/>
      <c r="BI23" s="555"/>
      <c r="BP23" s="555"/>
      <c r="BQ23" s="555"/>
      <c r="BR23" s="555"/>
      <c r="BS23" s="555"/>
      <c r="BT23" s="555"/>
      <c r="BU23" s="555"/>
      <c r="BV23" s="555"/>
      <c r="BW23" s="555"/>
      <c r="BX23" s="555"/>
      <c r="BY23" s="557"/>
      <c r="BZ23" s="555"/>
      <c r="CA23" s="555"/>
      <c r="CB23" s="555"/>
      <c r="CC23" s="555"/>
      <c r="CD23" s="555"/>
      <c r="CE23" s="555"/>
    </row>
    <row r="24">
      <c r="A24" s="631"/>
      <c r="B24" s="555"/>
      <c r="C24" s="555"/>
      <c r="D24" s="555"/>
      <c r="E24" s="555"/>
      <c r="F24" s="555"/>
      <c r="G24" s="555"/>
      <c r="P24" s="555"/>
      <c r="AV24" s="555"/>
      <c r="AW24" s="555"/>
      <c r="AX24" s="555"/>
      <c r="AY24" s="555"/>
      <c r="AZ24" s="555"/>
      <c r="BA24" s="555"/>
      <c r="BI24" s="555"/>
      <c r="BP24" s="555"/>
      <c r="BQ24" s="555"/>
      <c r="BR24" s="555"/>
      <c r="BS24" s="555"/>
      <c r="BT24" s="555"/>
      <c r="BU24" s="555"/>
      <c r="BV24" s="555"/>
      <c r="BW24" s="555"/>
      <c r="BX24" s="555"/>
      <c r="BY24" s="557"/>
      <c r="BZ24" s="555"/>
      <c r="CA24" s="555"/>
      <c r="CB24" s="555"/>
      <c r="CC24" s="555"/>
      <c r="CD24" s="555"/>
      <c r="CE24" s="555"/>
    </row>
    <row r="25">
      <c r="A25" s="630"/>
      <c r="B25" s="555"/>
      <c r="C25" s="555"/>
      <c r="D25" s="555"/>
      <c r="E25" s="555"/>
      <c r="F25" s="555"/>
      <c r="G25" s="555"/>
      <c r="P25" s="555"/>
      <c r="AV25" s="555"/>
      <c r="AW25" s="555"/>
      <c r="AX25" s="555"/>
      <c r="AY25" s="555"/>
      <c r="AZ25" s="555"/>
      <c r="BA25" s="555"/>
      <c r="BI25" s="555"/>
      <c r="BP25" s="555"/>
      <c r="BQ25" s="555"/>
      <c r="BR25" s="555"/>
      <c r="BS25" s="555"/>
      <c r="BT25" s="555"/>
      <c r="BU25" s="555"/>
      <c r="BV25" s="555"/>
      <c r="BW25" s="555"/>
      <c r="BX25" s="555"/>
      <c r="BY25" s="557"/>
      <c r="BZ25" s="555"/>
      <c r="CA25" s="555"/>
      <c r="CB25" s="555"/>
      <c r="CC25" s="555"/>
      <c r="CD25" s="555"/>
      <c r="CE25" s="555"/>
    </row>
    <row r="26">
      <c r="A26" s="630"/>
      <c r="B26" s="555"/>
      <c r="C26" s="555"/>
      <c r="D26" s="555"/>
      <c r="E26" s="555"/>
      <c r="F26" s="555"/>
      <c r="G26" s="555"/>
      <c r="P26" s="555"/>
      <c r="AV26" s="555"/>
      <c r="AW26" s="555"/>
      <c r="AX26" s="555"/>
      <c r="AY26" s="555"/>
      <c r="AZ26" s="555"/>
      <c r="BA26" s="555"/>
      <c r="BI26" s="555"/>
      <c r="BP26" s="555"/>
      <c r="BQ26" s="555"/>
      <c r="BR26" s="555"/>
      <c r="BS26" s="555"/>
      <c r="BT26" s="555"/>
      <c r="BU26" s="555"/>
      <c r="BV26" s="555"/>
      <c r="BW26" s="555"/>
      <c r="BX26" s="555"/>
      <c r="BY26" s="557"/>
      <c r="BZ26" s="555"/>
      <c r="CA26" s="555"/>
      <c r="CB26" s="555"/>
      <c r="CC26" s="555"/>
      <c r="CD26" s="555"/>
      <c r="CE26" s="555"/>
    </row>
    <row r="27">
      <c r="A27" s="630"/>
      <c r="B27" s="555"/>
      <c r="C27" s="555"/>
      <c r="D27" s="555"/>
      <c r="E27" s="555"/>
      <c r="F27" s="555"/>
      <c r="G27" s="555"/>
      <c r="P27" s="555"/>
      <c r="AV27" s="555"/>
      <c r="AW27" s="555"/>
      <c r="AX27" s="555"/>
      <c r="AY27" s="555"/>
      <c r="AZ27" s="555"/>
      <c r="BA27" s="555"/>
      <c r="BI27" s="555"/>
      <c r="BP27" s="555"/>
      <c r="BQ27" s="555"/>
      <c r="BR27" s="555"/>
      <c r="BS27" s="555"/>
      <c r="BT27" s="555"/>
      <c r="BU27" s="555"/>
      <c r="BV27" s="555"/>
      <c r="BW27" s="555"/>
      <c r="BX27" s="555"/>
      <c r="BY27" s="557"/>
      <c r="BZ27" s="555"/>
      <c r="CA27" s="555"/>
      <c r="CB27" s="555"/>
      <c r="CC27" s="555"/>
      <c r="CD27" s="555"/>
      <c r="CE27" s="555"/>
    </row>
    <row r="28">
      <c r="A28" s="631"/>
      <c r="B28" s="555"/>
      <c r="C28" s="555"/>
      <c r="D28" s="555"/>
      <c r="E28" s="555"/>
      <c r="F28" s="555"/>
      <c r="G28" s="555"/>
      <c r="P28" s="555"/>
      <c r="AV28" s="555"/>
      <c r="AW28" s="555"/>
      <c r="AX28" s="555"/>
      <c r="AY28" s="555"/>
      <c r="AZ28" s="555"/>
      <c r="BA28" s="555"/>
      <c r="BI28" s="555"/>
      <c r="BP28" s="555"/>
      <c r="BQ28" s="555"/>
      <c r="BR28" s="555"/>
      <c r="BS28" s="555"/>
      <c r="BT28" s="555"/>
      <c r="BU28" s="555"/>
      <c r="BV28" s="555"/>
      <c r="BW28" s="555"/>
      <c r="BX28" s="555"/>
      <c r="BY28" s="557"/>
      <c r="BZ28" s="555"/>
      <c r="CA28" s="555"/>
      <c r="CB28" s="555"/>
      <c r="CC28" s="555"/>
      <c r="CD28" s="555"/>
      <c r="CE28" s="555"/>
    </row>
    <row r="29">
      <c r="A29" s="630"/>
      <c r="B29" s="555"/>
      <c r="C29" s="555"/>
      <c r="D29" s="555"/>
      <c r="E29" s="555"/>
      <c r="F29" s="555"/>
      <c r="G29" s="555"/>
      <c r="P29" s="555"/>
      <c r="AV29" s="555"/>
      <c r="AW29" s="555"/>
      <c r="AX29" s="555"/>
      <c r="AY29" s="555"/>
      <c r="AZ29" s="555"/>
      <c r="BA29" s="555"/>
      <c r="BI29" s="555"/>
      <c r="BP29" s="555"/>
      <c r="BQ29" s="555"/>
      <c r="BR29" s="555"/>
      <c r="BS29" s="555"/>
      <c r="BT29" s="555"/>
      <c r="BU29" s="555"/>
      <c r="BV29" s="555"/>
      <c r="BW29" s="555"/>
      <c r="BX29" s="555"/>
      <c r="BY29" s="557"/>
      <c r="BZ29" s="555"/>
      <c r="CA29" s="555"/>
      <c r="CB29" s="555"/>
      <c r="CC29" s="555"/>
      <c r="CD29" s="555"/>
      <c r="CE29" s="555"/>
    </row>
    <row r="30">
      <c r="A30" s="630"/>
      <c r="B30" s="555"/>
      <c r="C30" s="555"/>
      <c r="D30" s="555"/>
      <c r="E30" s="555"/>
      <c r="F30" s="555"/>
      <c r="G30" s="555"/>
      <c r="P30" s="555"/>
      <c r="AV30" s="555"/>
      <c r="AW30" s="555"/>
      <c r="AX30" s="555"/>
      <c r="AY30" s="555"/>
      <c r="AZ30" s="555"/>
      <c r="BA30" s="555"/>
      <c r="BI30" s="555"/>
      <c r="BP30" s="555"/>
      <c r="BQ30" s="555"/>
      <c r="BR30" s="555"/>
      <c r="BS30" s="555"/>
      <c r="BT30" s="555"/>
      <c r="BU30" s="555"/>
      <c r="BV30" s="555"/>
      <c r="BW30" s="555"/>
      <c r="BX30" s="555"/>
      <c r="BY30" s="557"/>
      <c r="BZ30" s="555"/>
      <c r="CA30" s="555"/>
      <c r="CB30" s="555"/>
      <c r="CC30" s="555"/>
      <c r="CD30" s="555"/>
      <c r="CE30" s="555"/>
    </row>
    <row r="31">
      <c r="A31" s="630"/>
      <c r="B31" s="555"/>
      <c r="C31" s="555"/>
      <c r="D31" s="555"/>
      <c r="E31" s="555"/>
      <c r="F31" s="555"/>
      <c r="G31" s="555"/>
      <c r="P31" s="555"/>
      <c r="AV31" s="555"/>
      <c r="AW31" s="555"/>
      <c r="AX31" s="555"/>
      <c r="AY31" s="555"/>
      <c r="AZ31" s="555"/>
      <c r="BA31" s="555"/>
      <c r="BI31" s="555"/>
      <c r="BP31" s="555"/>
      <c r="BQ31" s="555"/>
      <c r="BR31" s="555"/>
      <c r="BS31" s="555"/>
      <c r="BT31" s="555"/>
      <c r="BU31" s="555"/>
      <c r="BV31" s="555"/>
      <c r="BW31" s="555"/>
      <c r="BX31" s="555"/>
      <c r="BY31" s="557"/>
      <c r="BZ31" s="555"/>
      <c r="CA31" s="555"/>
      <c r="CB31" s="555"/>
      <c r="CC31" s="555"/>
      <c r="CD31" s="555"/>
      <c r="CE31" s="555"/>
    </row>
    <row r="32">
      <c r="A32" s="631"/>
      <c r="B32" s="555"/>
      <c r="C32" s="555"/>
      <c r="D32" s="555"/>
      <c r="E32" s="555"/>
      <c r="F32" s="555"/>
      <c r="G32" s="555"/>
      <c r="P32" s="555"/>
      <c r="AV32" s="555"/>
      <c r="AW32" s="555"/>
      <c r="AX32" s="555"/>
      <c r="AY32" s="555"/>
      <c r="AZ32" s="555"/>
      <c r="BA32" s="555"/>
      <c r="BI32" s="555"/>
      <c r="BP32" s="555"/>
      <c r="BQ32" s="555"/>
      <c r="BR32" s="555"/>
      <c r="BS32" s="555"/>
      <c r="BT32" s="555"/>
      <c r="BU32" s="555"/>
      <c r="BV32" s="555"/>
      <c r="BW32" s="555"/>
      <c r="BX32" s="555"/>
      <c r="BY32" s="557"/>
      <c r="BZ32" s="555"/>
      <c r="CA32" s="555"/>
      <c r="CB32" s="555"/>
      <c r="CC32" s="555"/>
      <c r="CD32" s="555"/>
      <c r="CE32" s="555"/>
    </row>
    <row r="33">
      <c r="A33" s="630"/>
      <c r="B33" s="555"/>
      <c r="C33" s="555"/>
      <c r="D33" s="555"/>
      <c r="E33" s="555"/>
      <c r="F33" s="555"/>
      <c r="G33" s="555"/>
      <c r="P33" s="555"/>
      <c r="AV33" s="555"/>
      <c r="AW33" s="555"/>
      <c r="AX33" s="555"/>
      <c r="AY33" s="555"/>
      <c r="AZ33" s="555"/>
      <c r="BA33" s="555"/>
      <c r="BI33" s="555"/>
      <c r="BP33" s="555"/>
      <c r="BQ33" s="555"/>
      <c r="BR33" s="555"/>
      <c r="BS33" s="555"/>
      <c r="BT33" s="555"/>
      <c r="BU33" s="555"/>
      <c r="BV33" s="555"/>
      <c r="BW33" s="555"/>
      <c r="BX33" s="555"/>
      <c r="BY33" s="557"/>
      <c r="BZ33" s="555"/>
      <c r="CA33" s="555"/>
      <c r="CB33" s="555"/>
      <c r="CC33" s="555"/>
      <c r="CD33" s="555"/>
      <c r="CE33" s="555"/>
    </row>
    <row r="34">
      <c r="A34" s="630"/>
      <c r="B34" s="555"/>
      <c r="C34" s="555"/>
      <c r="D34" s="555"/>
      <c r="E34" s="555"/>
      <c r="F34" s="555"/>
      <c r="G34" s="555"/>
      <c r="P34" s="555"/>
      <c r="AV34" s="555"/>
      <c r="AW34" s="555"/>
      <c r="AX34" s="555"/>
      <c r="AY34" s="555"/>
      <c r="AZ34" s="555"/>
      <c r="BA34" s="555"/>
      <c r="BI34" s="555"/>
      <c r="BP34" s="555"/>
      <c r="BQ34" s="555"/>
      <c r="BR34" s="555"/>
      <c r="BS34" s="555"/>
      <c r="BT34" s="555"/>
      <c r="BU34" s="555"/>
      <c r="BV34" s="555"/>
      <c r="BW34" s="555"/>
      <c r="BX34" s="555"/>
      <c r="BY34" s="557"/>
      <c r="BZ34" s="555"/>
      <c r="CA34" s="555"/>
      <c r="CB34" s="555"/>
      <c r="CC34" s="555"/>
      <c r="CD34" s="555"/>
      <c r="CE34" s="555"/>
    </row>
    <row r="35">
      <c r="A35" s="630"/>
      <c r="B35" s="555"/>
      <c r="C35" s="555"/>
      <c r="D35" s="555"/>
      <c r="E35" s="555"/>
      <c r="F35" s="555"/>
      <c r="G35" s="555"/>
      <c r="P35" s="555"/>
      <c r="AV35" s="555"/>
      <c r="AW35" s="555"/>
      <c r="AX35" s="555"/>
      <c r="AY35" s="555"/>
      <c r="AZ35" s="555"/>
      <c r="BA35" s="555"/>
      <c r="BI35" s="555"/>
      <c r="BP35" s="555"/>
      <c r="BQ35" s="555"/>
      <c r="BR35" s="555"/>
      <c r="BS35" s="555"/>
      <c r="BT35" s="555"/>
      <c r="BU35" s="555"/>
      <c r="BV35" s="555"/>
      <c r="BW35" s="555"/>
      <c r="BX35" s="555"/>
      <c r="BY35" s="557"/>
      <c r="BZ35" s="555"/>
      <c r="CA35" s="555"/>
      <c r="CB35" s="555"/>
      <c r="CC35" s="555"/>
      <c r="CD35" s="555"/>
      <c r="CE35" s="555"/>
    </row>
    <row r="36">
      <c r="A36" s="631"/>
      <c r="B36" s="555"/>
      <c r="C36" s="555"/>
      <c r="D36" s="555"/>
      <c r="E36" s="555"/>
      <c r="F36" s="555"/>
      <c r="G36" s="555"/>
      <c r="P36" s="555"/>
      <c r="AV36" s="555"/>
      <c r="AW36" s="555"/>
      <c r="AX36" s="555"/>
      <c r="AY36" s="555"/>
      <c r="AZ36" s="555"/>
      <c r="BA36" s="555"/>
      <c r="BI36" s="555"/>
      <c r="BP36" s="555"/>
      <c r="BQ36" s="555"/>
      <c r="BR36" s="555"/>
      <c r="BS36" s="555"/>
      <c r="BT36" s="555"/>
      <c r="BU36" s="555"/>
      <c r="BV36" s="555"/>
      <c r="BW36" s="555"/>
      <c r="BX36" s="555"/>
      <c r="BY36" s="557"/>
      <c r="BZ36" s="555"/>
      <c r="CA36" s="555"/>
      <c r="CB36" s="555"/>
      <c r="CC36" s="555"/>
      <c r="CD36" s="555"/>
      <c r="CE36" s="555"/>
    </row>
    <row r="37">
      <c r="A37" s="630"/>
      <c r="B37" s="555"/>
      <c r="C37" s="555"/>
      <c r="D37" s="555"/>
      <c r="E37" s="555"/>
      <c r="F37" s="555"/>
      <c r="G37" s="555"/>
      <c r="P37" s="555"/>
      <c r="AV37" s="555"/>
      <c r="AW37" s="555"/>
      <c r="AX37" s="555"/>
      <c r="AY37" s="555"/>
      <c r="AZ37" s="555"/>
      <c r="BA37" s="555"/>
      <c r="BI37" s="555"/>
      <c r="BP37" s="555"/>
      <c r="BQ37" s="555"/>
      <c r="BR37" s="555"/>
      <c r="BS37" s="555"/>
      <c r="BT37" s="555"/>
      <c r="BU37" s="555"/>
      <c r="BV37" s="555"/>
      <c r="BW37" s="555"/>
      <c r="BX37" s="555"/>
      <c r="BY37" s="557"/>
      <c r="BZ37" s="555"/>
      <c r="CA37" s="555"/>
      <c r="CB37" s="555"/>
      <c r="CC37" s="555"/>
      <c r="CD37" s="555"/>
      <c r="CE37" s="555"/>
    </row>
    <row r="38">
      <c r="A38" s="630"/>
      <c r="B38" s="555"/>
      <c r="C38" s="555"/>
      <c r="D38" s="555"/>
      <c r="E38" s="555"/>
      <c r="F38" s="555"/>
      <c r="G38" s="555"/>
      <c r="P38" s="555"/>
      <c r="AV38" s="555"/>
      <c r="AW38" s="555"/>
      <c r="AX38" s="555"/>
      <c r="AY38" s="555"/>
      <c r="AZ38" s="555"/>
      <c r="BA38" s="555"/>
      <c r="BI38" s="555"/>
      <c r="BP38" s="555"/>
      <c r="BQ38" s="555"/>
      <c r="BR38" s="555"/>
      <c r="BS38" s="555"/>
      <c r="BT38" s="555"/>
      <c r="BU38" s="555"/>
      <c r="BV38" s="555"/>
      <c r="BW38" s="555"/>
      <c r="BX38" s="555"/>
      <c r="BY38" s="557"/>
      <c r="BZ38" s="555"/>
      <c r="CA38" s="555"/>
      <c r="CB38" s="555"/>
      <c r="CC38" s="555"/>
      <c r="CD38" s="555"/>
      <c r="CE38" s="555"/>
    </row>
    <row r="39">
      <c r="A39" s="631"/>
      <c r="B39" s="555"/>
      <c r="C39" s="555"/>
      <c r="D39" s="555"/>
      <c r="E39" s="555"/>
      <c r="F39" s="555"/>
      <c r="G39" s="555"/>
      <c r="P39" s="555"/>
      <c r="AV39" s="555"/>
      <c r="AW39" s="555"/>
      <c r="AX39" s="555"/>
      <c r="AY39" s="555"/>
      <c r="AZ39" s="555"/>
      <c r="BA39" s="555"/>
      <c r="BI39" s="555"/>
      <c r="BP39" s="555"/>
      <c r="BQ39" s="555"/>
      <c r="BR39" s="555"/>
      <c r="BS39" s="555"/>
      <c r="BT39" s="555"/>
      <c r="BU39" s="555"/>
      <c r="BV39" s="555"/>
      <c r="BW39" s="555"/>
      <c r="BX39" s="555"/>
      <c r="BY39" s="557"/>
      <c r="BZ39" s="555"/>
      <c r="CA39" s="555"/>
      <c r="CB39" s="555"/>
      <c r="CC39" s="555"/>
      <c r="CD39" s="555"/>
      <c r="CE39" s="555"/>
    </row>
    <row r="40">
      <c r="A40" s="630"/>
      <c r="B40" s="555"/>
      <c r="C40" s="555"/>
      <c r="D40" s="555"/>
      <c r="E40" s="555"/>
      <c r="F40" s="555"/>
      <c r="G40" s="555"/>
      <c r="P40" s="555"/>
      <c r="AV40" s="555"/>
      <c r="AW40" s="555"/>
      <c r="AX40" s="555"/>
      <c r="AY40" s="555"/>
      <c r="AZ40" s="555"/>
      <c r="BA40" s="555"/>
      <c r="BI40" s="555"/>
      <c r="BP40" s="555"/>
      <c r="BQ40" s="555"/>
      <c r="BR40" s="555"/>
      <c r="BS40" s="555"/>
      <c r="BT40" s="555"/>
      <c r="BU40" s="555"/>
      <c r="BV40" s="555"/>
      <c r="BW40" s="555"/>
      <c r="BX40" s="555"/>
      <c r="BY40" s="557"/>
      <c r="BZ40" s="555"/>
      <c r="CA40" s="555"/>
      <c r="CB40" s="555"/>
      <c r="CC40" s="555"/>
      <c r="CD40" s="555"/>
      <c r="CE40" s="555"/>
    </row>
    <row r="41">
      <c r="A41" s="630"/>
      <c r="B41" s="555"/>
      <c r="C41" s="555"/>
      <c r="D41" s="555"/>
      <c r="E41" s="555"/>
      <c r="F41" s="555"/>
      <c r="G41" s="555"/>
      <c r="P41" s="555"/>
      <c r="AV41" s="555"/>
      <c r="AW41" s="555"/>
      <c r="AX41" s="555"/>
      <c r="AY41" s="555"/>
      <c r="AZ41" s="555"/>
      <c r="BA41" s="555"/>
      <c r="BI41" s="555"/>
      <c r="BP41" s="555"/>
      <c r="BQ41" s="555"/>
      <c r="BR41" s="555"/>
      <c r="BS41" s="555"/>
      <c r="BT41" s="555"/>
      <c r="BU41" s="555"/>
      <c r="BV41" s="555"/>
      <c r="BW41" s="555"/>
      <c r="BX41" s="555"/>
      <c r="BY41" s="557"/>
      <c r="BZ41" s="555"/>
      <c r="CA41" s="555"/>
      <c r="CB41" s="555"/>
      <c r="CC41" s="555"/>
      <c r="CD41" s="555"/>
      <c r="CE41" s="555"/>
    </row>
    <row r="42">
      <c r="A42" s="631"/>
      <c r="B42" s="555"/>
      <c r="C42" s="555"/>
      <c r="D42" s="555"/>
      <c r="E42" s="555"/>
      <c r="F42" s="555"/>
      <c r="G42" s="555"/>
      <c r="P42" s="555"/>
      <c r="AV42" s="555"/>
      <c r="AW42" s="555"/>
      <c r="AX42" s="555"/>
      <c r="AY42" s="555"/>
      <c r="AZ42" s="555"/>
      <c r="BA42" s="555"/>
      <c r="BI42" s="555"/>
      <c r="BP42" s="555"/>
      <c r="BQ42" s="555"/>
      <c r="BR42" s="555"/>
      <c r="BS42" s="555"/>
      <c r="BT42" s="555"/>
      <c r="BU42" s="555"/>
      <c r="BV42" s="555"/>
      <c r="BW42" s="555"/>
      <c r="BX42" s="555"/>
      <c r="BY42" s="557"/>
      <c r="BZ42" s="555"/>
      <c r="CA42" s="555"/>
      <c r="CB42" s="555"/>
      <c r="CC42" s="555"/>
      <c r="CD42" s="555"/>
      <c r="CE42" s="555"/>
    </row>
    <row r="43">
      <c r="A43" s="630"/>
      <c r="B43" s="555"/>
      <c r="C43" s="555"/>
      <c r="D43" s="555"/>
      <c r="E43" s="555"/>
      <c r="F43" s="555"/>
      <c r="G43" s="555"/>
      <c r="P43" s="555"/>
      <c r="AV43" s="555"/>
      <c r="AW43" s="555"/>
      <c r="AX43" s="555"/>
      <c r="AY43" s="555"/>
      <c r="AZ43" s="555"/>
      <c r="BA43" s="555"/>
      <c r="BI43" s="555"/>
      <c r="BP43" s="555"/>
      <c r="BQ43" s="555"/>
      <c r="BR43" s="555"/>
      <c r="BS43" s="555"/>
      <c r="BT43" s="555"/>
      <c r="BU43" s="555"/>
      <c r="BV43" s="555"/>
      <c r="BW43" s="555"/>
      <c r="BX43" s="555"/>
      <c r="BY43" s="557"/>
      <c r="BZ43" s="555"/>
      <c r="CA43" s="555"/>
      <c r="CB43" s="555"/>
      <c r="CC43" s="555"/>
      <c r="CD43" s="555"/>
      <c r="CE43" s="555"/>
    </row>
    <row r="44">
      <c r="A44" s="630"/>
      <c r="B44" s="555"/>
      <c r="C44" s="555"/>
      <c r="D44" s="555"/>
      <c r="E44" s="555"/>
      <c r="F44" s="555"/>
      <c r="G44" s="555"/>
      <c r="P44" s="555"/>
      <c r="AV44" s="555"/>
      <c r="AW44" s="555"/>
      <c r="AX44" s="555"/>
      <c r="AY44" s="555"/>
      <c r="AZ44" s="555"/>
      <c r="BA44" s="555"/>
      <c r="BI44" s="555"/>
      <c r="BP44" s="555"/>
      <c r="BQ44" s="555"/>
      <c r="BR44" s="555"/>
      <c r="BS44" s="555"/>
      <c r="BT44" s="555"/>
      <c r="BU44" s="555"/>
      <c r="BV44" s="555"/>
      <c r="BW44" s="555"/>
      <c r="BX44" s="555"/>
      <c r="BY44" s="557"/>
      <c r="BZ44" s="555"/>
      <c r="CA44" s="555"/>
      <c r="CB44" s="555"/>
      <c r="CC44" s="555"/>
      <c r="CD44" s="555"/>
      <c r="CE44" s="555"/>
    </row>
    <row r="45">
      <c r="A45" s="630"/>
      <c r="B45" s="555"/>
      <c r="C45" s="555"/>
      <c r="D45" s="555"/>
      <c r="E45" s="555"/>
      <c r="F45" s="555"/>
      <c r="G45" s="555"/>
      <c r="P45" s="555"/>
      <c r="AV45" s="555"/>
      <c r="AW45" s="555"/>
      <c r="AX45" s="555"/>
      <c r="AY45" s="555"/>
      <c r="AZ45" s="555"/>
      <c r="BA45" s="555"/>
      <c r="BI45" s="555"/>
      <c r="BP45" s="555"/>
      <c r="BQ45" s="555"/>
      <c r="BR45" s="555"/>
      <c r="BS45" s="555"/>
      <c r="BT45" s="555"/>
      <c r="BU45" s="555"/>
      <c r="BV45" s="555"/>
      <c r="BW45" s="555"/>
      <c r="BX45" s="555"/>
      <c r="BY45" s="557"/>
      <c r="BZ45" s="555"/>
      <c r="CA45" s="555"/>
      <c r="CB45" s="555"/>
      <c r="CC45" s="555"/>
      <c r="CD45" s="555"/>
      <c r="CE45" s="555"/>
    </row>
    <row r="46">
      <c r="A46" s="631"/>
      <c r="B46" s="555"/>
      <c r="C46" s="555"/>
      <c r="D46" s="555"/>
      <c r="E46" s="555"/>
      <c r="F46" s="555"/>
      <c r="G46" s="555"/>
      <c r="P46" s="555"/>
      <c r="AV46" s="555"/>
      <c r="AW46" s="555"/>
      <c r="AX46" s="555"/>
      <c r="AY46" s="555"/>
      <c r="AZ46" s="555"/>
      <c r="BA46" s="555"/>
      <c r="BI46" s="555"/>
      <c r="BP46" s="555"/>
      <c r="BQ46" s="555"/>
      <c r="BR46" s="555"/>
      <c r="BS46" s="555"/>
      <c r="BT46" s="555"/>
      <c r="BU46" s="555"/>
      <c r="BV46" s="555"/>
      <c r="BW46" s="555"/>
      <c r="BX46" s="555"/>
      <c r="BY46" s="557"/>
      <c r="BZ46" s="555"/>
      <c r="CA46" s="555"/>
      <c r="CB46" s="555"/>
      <c r="CC46" s="555"/>
      <c r="CD46" s="555"/>
      <c r="CE46" s="555"/>
    </row>
    <row r="47">
      <c r="A47" s="630"/>
      <c r="B47" s="555"/>
      <c r="C47" s="555"/>
      <c r="D47" s="555"/>
      <c r="E47" s="555"/>
      <c r="F47" s="555"/>
      <c r="G47" s="555"/>
      <c r="P47" s="555"/>
      <c r="AV47" s="555"/>
      <c r="AW47" s="555"/>
      <c r="AX47" s="555"/>
      <c r="AY47" s="555"/>
      <c r="AZ47" s="555"/>
      <c r="BA47" s="555"/>
      <c r="BI47" s="555"/>
      <c r="BP47" s="555"/>
      <c r="BQ47" s="555"/>
      <c r="BR47" s="555"/>
      <c r="BS47" s="555"/>
      <c r="BT47" s="555"/>
      <c r="BU47" s="555"/>
      <c r="BV47" s="555"/>
      <c r="BW47" s="555"/>
      <c r="BX47" s="555"/>
      <c r="BY47" s="557"/>
      <c r="BZ47" s="555"/>
      <c r="CA47" s="555"/>
      <c r="CB47" s="555"/>
      <c r="CC47" s="555"/>
      <c r="CD47" s="555"/>
      <c r="CE47" s="555"/>
    </row>
    <row r="48">
      <c r="A48" s="630"/>
      <c r="B48" s="555"/>
      <c r="C48" s="555"/>
      <c r="D48" s="555"/>
      <c r="E48" s="555"/>
      <c r="F48" s="555"/>
      <c r="G48" s="555"/>
      <c r="P48" s="555"/>
      <c r="AV48" s="555"/>
      <c r="AW48" s="555"/>
      <c r="AX48" s="555"/>
      <c r="AY48" s="555"/>
      <c r="AZ48" s="555"/>
      <c r="BA48" s="555"/>
      <c r="BI48" s="555"/>
      <c r="BP48" s="555"/>
      <c r="BQ48" s="555"/>
      <c r="BR48" s="555"/>
      <c r="BS48" s="555"/>
      <c r="BT48" s="555"/>
      <c r="BU48" s="555"/>
      <c r="BV48" s="555"/>
      <c r="BW48" s="555"/>
      <c r="BX48" s="555"/>
      <c r="BY48" s="557"/>
      <c r="BZ48" s="555"/>
      <c r="CA48" s="555"/>
      <c r="CB48" s="555"/>
      <c r="CC48" s="555"/>
      <c r="CD48" s="555"/>
      <c r="CE48" s="555"/>
    </row>
    <row r="49">
      <c r="A49" s="631"/>
      <c r="B49" s="555"/>
      <c r="C49" s="555"/>
      <c r="D49" s="555"/>
      <c r="E49" s="555"/>
      <c r="F49" s="555"/>
      <c r="G49" s="555"/>
      <c r="P49" s="555"/>
      <c r="AV49" s="555"/>
      <c r="AW49" s="555"/>
      <c r="AX49" s="555"/>
      <c r="AY49" s="555"/>
      <c r="AZ49" s="555"/>
      <c r="BA49" s="555"/>
      <c r="BI49" s="555"/>
      <c r="BP49" s="555"/>
      <c r="BQ49" s="555"/>
      <c r="BR49" s="555"/>
      <c r="BS49" s="555"/>
      <c r="BT49" s="555"/>
      <c r="BU49" s="555"/>
      <c r="BV49" s="555"/>
      <c r="BW49" s="555"/>
      <c r="BX49" s="555"/>
      <c r="BY49" s="557"/>
      <c r="BZ49" s="555"/>
      <c r="CA49" s="555"/>
      <c r="CB49" s="555"/>
      <c r="CC49" s="555"/>
      <c r="CD49" s="555"/>
      <c r="CE49" s="555"/>
    </row>
    <row r="50">
      <c r="A50" s="630"/>
      <c r="B50" s="555"/>
      <c r="C50" s="555"/>
      <c r="D50" s="555"/>
      <c r="E50" s="555"/>
      <c r="F50" s="555"/>
      <c r="G50" s="555"/>
      <c r="P50" s="555"/>
      <c r="AV50" s="555"/>
      <c r="AW50" s="555"/>
      <c r="AX50" s="555"/>
      <c r="AY50" s="555"/>
      <c r="AZ50" s="555"/>
      <c r="BA50" s="555"/>
      <c r="BI50" s="555"/>
      <c r="BP50" s="555"/>
      <c r="BQ50" s="555"/>
      <c r="BR50" s="555"/>
      <c r="BS50" s="555"/>
      <c r="BT50" s="555"/>
      <c r="BU50" s="555"/>
      <c r="BV50" s="555"/>
      <c r="BW50" s="555"/>
      <c r="BX50" s="555"/>
      <c r="BY50" s="557"/>
      <c r="BZ50" s="555"/>
      <c r="CA50" s="555"/>
      <c r="CB50" s="555"/>
      <c r="CC50" s="555"/>
      <c r="CD50" s="555"/>
      <c r="CE50" s="555"/>
    </row>
    <row r="51">
      <c r="A51" s="630"/>
      <c r="B51" s="555"/>
      <c r="C51" s="555"/>
      <c r="D51" s="555"/>
      <c r="E51" s="555"/>
      <c r="F51" s="555"/>
      <c r="G51" s="555"/>
      <c r="P51" s="555"/>
      <c r="AV51" s="555"/>
      <c r="AW51" s="555"/>
      <c r="AX51" s="555"/>
      <c r="AY51" s="555"/>
      <c r="AZ51" s="555"/>
      <c r="BA51" s="555"/>
      <c r="BI51" s="555"/>
      <c r="BP51" s="555"/>
      <c r="BQ51" s="555"/>
      <c r="BR51" s="555"/>
      <c r="BS51" s="555"/>
      <c r="BT51" s="555"/>
      <c r="BU51" s="555"/>
      <c r="BV51" s="555"/>
      <c r="BW51" s="555"/>
      <c r="BX51" s="555"/>
      <c r="BY51" s="557"/>
      <c r="BZ51" s="555"/>
      <c r="CA51" s="555"/>
      <c r="CB51" s="555"/>
      <c r="CC51" s="555"/>
      <c r="CD51" s="555"/>
      <c r="CE51" s="555"/>
    </row>
    <row r="52">
      <c r="A52" s="630"/>
      <c r="B52" s="555"/>
      <c r="C52" s="555"/>
      <c r="D52" s="555"/>
      <c r="E52" s="555"/>
      <c r="F52" s="555"/>
      <c r="G52" s="555"/>
      <c r="P52" s="555"/>
      <c r="AV52" s="555"/>
      <c r="AW52" s="555"/>
      <c r="AX52" s="555"/>
      <c r="AY52" s="555"/>
      <c r="AZ52" s="555"/>
      <c r="BA52" s="555"/>
      <c r="BI52" s="555"/>
      <c r="BP52" s="555"/>
      <c r="BQ52" s="555"/>
      <c r="BR52" s="555"/>
      <c r="BS52" s="555"/>
      <c r="BT52" s="555"/>
      <c r="BU52" s="555"/>
      <c r="BV52" s="555"/>
      <c r="BW52" s="555"/>
      <c r="BX52" s="555"/>
      <c r="BY52" s="557"/>
      <c r="BZ52" s="555"/>
      <c r="CA52" s="555"/>
      <c r="CB52" s="555"/>
      <c r="CC52" s="555"/>
      <c r="CD52" s="555"/>
      <c r="CE52" s="555"/>
    </row>
    <row r="53">
      <c r="A53" s="630"/>
      <c r="B53" s="555"/>
      <c r="C53" s="555"/>
      <c r="D53" s="555"/>
      <c r="E53" s="555"/>
      <c r="F53" s="555"/>
      <c r="G53" s="555"/>
      <c r="P53" s="555"/>
      <c r="AV53" s="555"/>
      <c r="AW53" s="555"/>
      <c r="AX53" s="555"/>
      <c r="AY53" s="555"/>
      <c r="AZ53" s="555"/>
      <c r="BA53" s="555"/>
      <c r="BI53" s="555"/>
      <c r="BP53" s="555"/>
      <c r="BQ53" s="555"/>
      <c r="BR53" s="555"/>
      <c r="BS53" s="555"/>
      <c r="BT53" s="555"/>
      <c r="BU53" s="555"/>
      <c r="BV53" s="555"/>
      <c r="BW53" s="555"/>
      <c r="BX53" s="555"/>
      <c r="BY53" s="557"/>
      <c r="BZ53" s="555"/>
      <c r="CA53" s="555"/>
      <c r="CB53" s="555"/>
      <c r="CC53" s="555"/>
      <c r="CD53" s="555"/>
      <c r="CE53" s="555"/>
    </row>
    <row r="54">
      <c r="A54" s="630"/>
      <c r="B54" s="555"/>
      <c r="C54" s="555"/>
      <c r="D54" s="555"/>
      <c r="E54" s="555"/>
      <c r="F54" s="555"/>
      <c r="G54" s="555"/>
      <c r="P54" s="555"/>
      <c r="AV54" s="555"/>
      <c r="AW54" s="555"/>
      <c r="AX54" s="555"/>
      <c r="AY54" s="555"/>
      <c r="AZ54" s="555"/>
      <c r="BA54" s="555"/>
      <c r="BI54" s="555"/>
      <c r="BP54" s="555"/>
      <c r="BQ54" s="555"/>
      <c r="BR54" s="555"/>
      <c r="BS54" s="555"/>
      <c r="BT54" s="555"/>
      <c r="BU54" s="555"/>
      <c r="BV54" s="555"/>
      <c r="BW54" s="555"/>
      <c r="BX54" s="555"/>
      <c r="BY54" s="557"/>
      <c r="BZ54" s="555"/>
      <c r="CA54" s="555"/>
      <c r="CB54" s="555"/>
      <c r="CC54" s="555"/>
      <c r="CD54" s="555"/>
      <c r="CE54" s="555"/>
    </row>
    <row r="55">
      <c r="A55" s="630"/>
      <c r="B55" s="555"/>
      <c r="C55" s="555"/>
      <c r="D55" s="555"/>
      <c r="E55" s="555"/>
      <c r="F55" s="555"/>
      <c r="G55" s="555"/>
      <c r="P55" s="555"/>
      <c r="AV55" s="555"/>
      <c r="AW55" s="555"/>
      <c r="AX55" s="555"/>
      <c r="AY55" s="555"/>
      <c r="AZ55" s="555"/>
      <c r="BA55" s="555"/>
      <c r="BI55" s="555"/>
      <c r="BP55" s="555"/>
      <c r="BQ55" s="555"/>
      <c r="BR55" s="555"/>
      <c r="BS55" s="555"/>
      <c r="BT55" s="555"/>
      <c r="BU55" s="555"/>
      <c r="BV55" s="555"/>
      <c r="BW55" s="555"/>
      <c r="BX55" s="555"/>
      <c r="BY55" s="557"/>
      <c r="BZ55" s="555"/>
      <c r="CA55" s="555"/>
      <c r="CB55" s="555"/>
      <c r="CC55" s="555"/>
      <c r="CD55" s="555"/>
      <c r="CE55" s="555"/>
    </row>
  </sheetData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27.14"/>
    <col customWidth="1" min="2" max="2" width="26.0"/>
    <col customWidth="1" min="3" max="3" width="13.29"/>
    <col customWidth="1" min="4" max="4" width="13.43"/>
    <col customWidth="1" min="5" max="5" width="9.71"/>
    <col customWidth="1" min="6" max="6" width="50.14"/>
    <col customWidth="1" min="7" max="7" width="40.86"/>
    <col customWidth="1" min="8" max="8" width="25.29"/>
  </cols>
  <sheetData>
    <row r="1">
      <c r="A1" s="632" t="s">
        <v>130</v>
      </c>
      <c r="B1" s="632" t="s">
        <v>698</v>
      </c>
      <c r="C1" s="633" t="s">
        <v>4</v>
      </c>
      <c r="D1" s="633" t="s">
        <v>5</v>
      </c>
      <c r="E1" s="632" t="s">
        <v>6</v>
      </c>
      <c r="F1" s="634" t="s">
        <v>452</v>
      </c>
      <c r="G1" s="634" t="s">
        <v>699</v>
      </c>
      <c r="H1" s="634" t="s">
        <v>700</v>
      </c>
    </row>
    <row r="2">
      <c r="A2" s="164" t="s">
        <v>701</v>
      </c>
      <c r="B2" s="164" t="s">
        <v>702</v>
      </c>
      <c r="C2" s="502">
        <v>41237.0</v>
      </c>
      <c r="D2" s="502">
        <v>41238.0</v>
      </c>
      <c r="E2" s="150"/>
      <c r="F2" s="150"/>
      <c r="G2" s="150"/>
      <c r="H2" s="635"/>
    </row>
    <row r="3">
      <c r="A3" s="72" t="s">
        <v>703</v>
      </c>
      <c r="B3" s="72" t="s">
        <v>33</v>
      </c>
      <c r="C3" s="472">
        <v>41231.0</v>
      </c>
      <c r="D3" s="473" t="s">
        <v>13</v>
      </c>
      <c r="E3" s="71"/>
      <c r="F3" s="71"/>
      <c r="G3" s="71"/>
      <c r="H3" s="636"/>
    </row>
    <row r="4">
      <c r="A4" s="474" t="s">
        <v>381</v>
      </c>
      <c r="B4" s="475" t="str">
        <f>hyperlink("https://www.google.com/maps?q=anaheim+convention+center&amp;hl=en&amp;sll=37.0625,-95.677068&amp;sspn=43.713406,61.523437&amp;hq=anaheim+convention+center&amp;t=m&amp;z=14&amp;iwloc=A","Los Angeles, CA, USA")</f>
        <v>Los Angeles, CA, USA</v>
      </c>
      <c r="C4" s="476">
        <v>41216.0</v>
      </c>
      <c r="D4" s="476">
        <v>41217.0</v>
      </c>
      <c r="E4" s="637" t="s">
        <v>493</v>
      </c>
      <c r="F4" s="474" t="s">
        <v>382</v>
      </c>
      <c r="G4" s="637" t="s">
        <v>704</v>
      </c>
      <c r="H4" s="638">
        <v>11655.33</v>
      </c>
    </row>
    <row r="5">
      <c r="A5" s="639" t="s">
        <v>705</v>
      </c>
      <c r="B5" s="539" t="str">
        <f>hyperlink("https://www.google.com/maps?q=holiday+inn+near+Strongsville,+OH,+United+States&amp;hl=en&amp;sll=33.801389,-117.920419&amp;sspn=0.045005,0.060081&amp;oq=holiday+inn+strongsville&amp;hq=holiday+inn&amp;hnear=Strongsville,+Cuyahoga,+Ohio&amp;t=m&amp;z=13","Strongsville, OH, USA")</f>
        <v>Strongsville, OH, USA</v>
      </c>
      <c r="C5" s="540">
        <v>41180.0</v>
      </c>
      <c r="D5" s="540">
        <v>41182.0</v>
      </c>
      <c r="E5" s="639">
        <v>2182.0</v>
      </c>
      <c r="F5" s="542"/>
      <c r="G5" s="542"/>
      <c r="H5" s="640"/>
    </row>
    <row r="6">
      <c r="A6" s="16" t="s">
        <v>706</v>
      </c>
      <c r="B6" s="12" t="str">
        <f>hyperlink("https://www.google.com/maps?q=Pheasant+Run+Resort,+St.+Charles,+IL,+United+States&amp;hl=en&amp;sll=37.0625,-95.677068&amp;sspn=45.822921,66.533203&amp;oq=pheasant+run&amp;hq=Pheasant+Run+Resort,+St.+Charles,+IL,+United+States&amp;t=m&amp;z=15","St. Charles, IL, USA")</f>
        <v>St. Charles, IL, USA</v>
      </c>
      <c r="C6" s="485">
        <v>41166.0</v>
      </c>
      <c r="D6" s="485">
        <v>41168.0</v>
      </c>
      <c r="E6" s="90" t="s">
        <v>707</v>
      </c>
      <c r="F6" s="17"/>
      <c r="G6" s="17"/>
      <c r="H6" s="641"/>
    </row>
    <row r="7">
      <c r="A7" s="495" t="s">
        <v>708</v>
      </c>
      <c r="B7" s="496" t="str">
        <f>hyperlink("https://plus.google.com/107544563974516316424","Austin, TX, USA")</f>
        <v>Austin, TX, USA</v>
      </c>
      <c r="C7" s="497">
        <v>41160.0</v>
      </c>
      <c r="D7" s="497">
        <v>41161.0</v>
      </c>
      <c r="E7" s="642" t="s">
        <v>709</v>
      </c>
      <c r="F7" s="499"/>
      <c r="G7" s="499"/>
      <c r="H7" s="643"/>
    </row>
    <row r="8">
      <c r="A8" s="164" t="s">
        <v>384</v>
      </c>
      <c r="B8" s="147" t="str">
        <f>hyperlink("https://www.google.com/maps?q=Bridgewater+Hall,+Manchester,+United+Kingdom&amp;hl=en&amp;sll=37.0625,-95.677068&amp;sspn=43.713406,61.523437&amp;oq=bridgewater+hall,&amp;hq=Bridgewater+Hall,+Manchester,+United+Kingdom&amp;t=m&amp;z=14","Manchester, UK")</f>
        <v>Manchester, UK</v>
      </c>
      <c r="C8" s="502">
        <v>41139.0</v>
      </c>
      <c r="D8" s="502">
        <v>41140.0</v>
      </c>
      <c r="E8" s="511" t="s">
        <v>710</v>
      </c>
      <c r="F8" s="164" t="s">
        <v>385</v>
      </c>
      <c r="G8" s="644">
        <v>3687.96</v>
      </c>
      <c r="H8" s="635">
        <f>IFERROR(__xludf.DUMMYFUNCTION("G8*GoogleFinance(""CURRENCY:GBPUSD"")"),5222.4058292400005)</f>
        <v>5222.405829</v>
      </c>
    </row>
    <row r="9">
      <c r="A9" s="72" t="s">
        <v>386</v>
      </c>
      <c r="B9" s="72" t="s">
        <v>711</v>
      </c>
      <c r="C9" s="472">
        <v>41138.0</v>
      </c>
      <c r="D9" s="472">
        <v>41140.0</v>
      </c>
      <c r="E9" s="70" t="s">
        <v>712</v>
      </c>
      <c r="F9" s="72" t="s">
        <v>40</v>
      </c>
      <c r="G9" s="118">
        <v>13535.0</v>
      </c>
      <c r="H9" s="645">
        <v>13535.0</v>
      </c>
    </row>
    <row r="10">
      <c r="A10" s="474" t="s">
        <v>387</v>
      </c>
      <c r="B10" s="474" t="s">
        <v>713</v>
      </c>
      <c r="C10" s="476">
        <v>41132.0</v>
      </c>
      <c r="D10" s="476">
        <v>41133.0</v>
      </c>
      <c r="E10" s="474">
        <v>504.0</v>
      </c>
      <c r="F10" s="474" t="s">
        <v>309</v>
      </c>
      <c r="G10" s="646">
        <v>8145.0</v>
      </c>
      <c r="H10" s="647">
        <f>IFERROR(__xludf.DUMMYFUNCTION("G10*GoogleFinance(""CURRENCY:EURUSD"")"),9909.64683)</f>
        <v>9909.64683</v>
      </c>
    </row>
    <row r="11">
      <c r="A11" s="648" t="s">
        <v>388</v>
      </c>
      <c r="B11" s="649" t="str">
        <f>hyperlink("https://www.google.com/maps?q=The+Ohio+Union,+Columbus,+OH,+United+States&amp;hl=en&amp;sll=37.0625,-95.677068&amp;sspn=43.713406,61.523437&amp;oq=the+ohio+union&amp;hq=The+Ohio+Union,+Columbus,+OH,+United+States&amp;t=m&amp;z=14","Columbus, OH, USA")</f>
        <v>Columbus, OH, USA</v>
      </c>
      <c r="C11" s="650">
        <v>41111.0</v>
      </c>
      <c r="D11" s="650">
        <v>41112.0</v>
      </c>
      <c r="E11" s="651" t="s">
        <v>710</v>
      </c>
      <c r="F11" s="648" t="s">
        <v>36</v>
      </c>
      <c r="G11" s="652">
        <v>700.0</v>
      </c>
      <c r="H11" s="653">
        <v>700.0</v>
      </c>
    </row>
    <row r="12">
      <c r="A12" s="654" t="s">
        <v>389</v>
      </c>
      <c r="B12" s="655" t="str">
        <f>hyperlink("https://maps.google.com/maps?q=355+Plaza+Dr.+,+Seacaucus,+NJ&amp;hnear=355+Plaza+Dr,+Secaucus,+New+Jersey+07094&amp;t=m&amp;z=16","Secaucus, NJ, USA")</f>
        <v>Secaucus, NJ, USA</v>
      </c>
      <c r="C12" s="656">
        <v>41090.0</v>
      </c>
      <c r="D12" s="656">
        <v>41091.0</v>
      </c>
      <c r="E12" s="654">
        <v>4000.0</v>
      </c>
      <c r="F12" s="654" t="s">
        <v>368</v>
      </c>
      <c r="G12" s="657" t="s">
        <v>714</v>
      </c>
      <c r="H12" s="658">
        <v>8000.0</v>
      </c>
    </row>
    <row r="13">
      <c r="A13" s="659" t="s">
        <v>715</v>
      </c>
      <c r="B13" s="660" t="str">
        <f>hyperlink("http://goo.gl/maps/28HxC","New York, NY, USA")</f>
        <v>New York, NY, USA</v>
      </c>
      <c r="C13" s="661">
        <v>40915.0</v>
      </c>
      <c r="D13" s="662" t="s">
        <v>13</v>
      </c>
      <c r="E13" s="659">
        <v>850.0</v>
      </c>
      <c r="F13" s="663"/>
      <c r="G13" s="663"/>
      <c r="H13" s="664"/>
    </row>
    <row r="14">
      <c r="A14" s="665" t="s">
        <v>716</v>
      </c>
      <c r="B14" s="666" t="str">
        <f>hyperlink("http://goo.gl/maps/IGmBg","New York, NY, USA")</f>
        <v>New York, NY, USA</v>
      </c>
      <c r="C14" s="667">
        <v>40810.0</v>
      </c>
      <c r="D14" s="668" t="s">
        <v>13</v>
      </c>
      <c r="E14" s="665">
        <v>300.0</v>
      </c>
      <c r="F14" s="669"/>
      <c r="G14" s="669"/>
      <c r="H14" s="670"/>
    </row>
    <row r="15">
      <c r="A15" s="72" t="s">
        <v>717</v>
      </c>
      <c r="B15" s="65" t="str">
        <f>hyperlink("https://www.google.com/maps?q=NYC+Seminar+and+Conference+Center&amp;hl=en&amp;sll=37.0625,-95.677068&amp;sspn=37.819897,71.015625&amp;hq=NYC+Seminar+and+Conference+Center&amp;t=m&amp;z=12","New York, NY, USA")</f>
        <v>New York, NY, USA</v>
      </c>
      <c r="C15" s="472">
        <v>40719.0</v>
      </c>
      <c r="D15" s="473" t="s">
        <v>13</v>
      </c>
      <c r="E15" s="72">
        <v>100.0</v>
      </c>
      <c r="F15" s="71"/>
      <c r="G15" s="71"/>
      <c r="H15" s="636"/>
    </row>
    <row r="16">
      <c r="A16" s="71"/>
      <c r="B16" s="71"/>
      <c r="C16" s="545"/>
      <c r="D16" s="545"/>
      <c r="E16" s="71"/>
      <c r="F16" s="71"/>
      <c r="G16" s="71"/>
      <c r="H16" s="636"/>
    </row>
    <row r="17">
      <c r="A17" s="72" t="s">
        <v>718</v>
      </c>
      <c r="B17" s="72" t="s">
        <v>719</v>
      </c>
      <c r="C17" s="545"/>
      <c r="D17" s="545"/>
      <c r="E17" s="71"/>
      <c r="F17" s="71"/>
      <c r="G17" s="71"/>
      <c r="H17" s="636"/>
    </row>
    <row r="18">
      <c r="A18" s="72" t="s">
        <v>720</v>
      </c>
      <c r="B18" s="71"/>
      <c r="C18" s="545"/>
      <c r="D18" s="545"/>
      <c r="E18" s="71"/>
      <c r="F18" s="71"/>
      <c r="G18" s="71"/>
      <c r="H18" s="636"/>
    </row>
    <row r="19">
      <c r="A19" s="71"/>
      <c r="B19" s="71"/>
      <c r="C19" s="545"/>
      <c r="D19" s="545"/>
      <c r="E19" s="71"/>
      <c r="F19" s="71"/>
      <c r="G19" s="71"/>
      <c r="H19" s="636">
        <f>SUM(H2:H15)</f>
        <v>49022.38266</v>
      </c>
    </row>
  </sheetData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2.75"/>
  <cols>
    <col customWidth="1" min="1" max="1" width="27.14"/>
    <col customWidth="1" min="2" max="2" width="26.0"/>
    <col customWidth="1" min="3" max="3" width="13.29"/>
    <col customWidth="1" min="4" max="4" width="13.43"/>
    <col customWidth="1" min="5" max="5" width="53.43"/>
    <col customWidth="1" min="6" max="6" width="19.0"/>
    <col customWidth="1" min="7" max="7" width="13.29"/>
    <col customWidth="1" min="8" max="8" width="19.57"/>
    <col customWidth="1" min="9" max="12" width="17.29"/>
  </cols>
  <sheetData>
    <row r="1">
      <c r="A1" s="5" t="s">
        <v>130</v>
      </c>
      <c r="B1" s="5" t="s">
        <v>698</v>
      </c>
      <c r="C1" s="470" t="s">
        <v>4</v>
      </c>
      <c r="D1" s="470" t="s">
        <v>5</v>
      </c>
      <c r="E1" s="5" t="s">
        <v>3</v>
      </c>
      <c r="F1" s="10" t="str">
        <f>hyperlink("https://twitter.com/foalpapers/mlp-conventions","Twitter")</f>
        <v>Twitter</v>
      </c>
      <c r="G1" s="470" t="s">
        <v>10</v>
      </c>
      <c r="H1" s="470" t="s">
        <v>11</v>
      </c>
    </row>
    <row r="2">
      <c r="A2" s="16" t="s">
        <v>721</v>
      </c>
      <c r="B2" s="16" t="s">
        <v>722</v>
      </c>
      <c r="C2" s="485">
        <v>41908.0</v>
      </c>
      <c r="D2" s="485">
        <v>41910.0</v>
      </c>
      <c r="E2" s="13" t="s">
        <v>723</v>
      </c>
      <c r="F2" s="12" t="str">
        <f>hyperlink("http://www.twitter.com/CanterlotGrdns","@CanterlotGrdns")</f>
        <v>@CanterlotGrdns</v>
      </c>
      <c r="G2" s="12" t="str">
        <f>hyperlink("http://www.facebook.com/CanterlotGardens","CanterlotGardens")</f>
        <v>CanterlotGardens</v>
      </c>
      <c r="J2" s="17"/>
    </row>
    <row r="3">
      <c r="A3" s="72" t="s">
        <v>724</v>
      </c>
      <c r="B3" s="65" t="str">
        <f>hyperlink("https://www.google.com/maps?q=Pheasant+Run+Resort,+St.+Charles,+IL,+United+States&amp;hl=en&amp;sll=37.0625,-95.677068&amp;sspn=45.822921,66.533203&amp;oq=pheasant+run&amp;hq=Pheasant+Run+Resort,+St.+Charles,+IL,+United+States&amp;t=m&amp;z=15","St. Charles, IL, USA")</f>
        <v>St. Charles, IL, USA</v>
      </c>
      <c r="C3" s="671" t="s">
        <v>725</v>
      </c>
      <c r="D3" s="545"/>
      <c r="E3" s="71"/>
      <c r="F3" s="130"/>
      <c r="G3" s="672"/>
      <c r="H3" s="71"/>
      <c r="I3" s="71"/>
      <c r="J3" s="71"/>
    </row>
    <row r="4">
      <c r="A4" s="16" t="s">
        <v>559</v>
      </c>
      <c r="B4" s="12" t="str">
        <f>hyperlink("https://www.google.com/maps?q=Holiday+Inn-Vanderbilt,+West+End+Avenue,+Nashville,+TN,+United+States&amp;hl=en&amp;sll=36.189485,-86.799463&amp;sspn=0.022582,0.030298&amp;oq=holidahy+inn+vander&amp;hq=Holiday+Inn-Vanderbilt,+West+End+Avenue,+Nashville,+TN,+United+States&amp;t=m&amp;z"&amp;"=14","Nashville, TN, USA")</f>
        <v>Nashville, TN, USA</v>
      </c>
      <c r="C4" s="485">
        <v>41467.0</v>
      </c>
      <c r="D4" s="485">
        <v>41469.0</v>
      </c>
      <c r="E4" s="13" t="s">
        <v>726</v>
      </c>
      <c r="F4" s="12" t="str">
        <f>hyperlink("http://www.twitter.com/SweetAppleCon","@SweetAppleCon")</f>
        <v>@SweetAppleCon</v>
      </c>
      <c r="G4" s="12" t="str">
        <f>hyperlink("https://www.facebook.com/SweetAppleAcresCon","SweetAppleAcresCon")</f>
        <v>SweetAppleAcresCon</v>
      </c>
      <c r="H4" s="17"/>
    </row>
    <row r="5">
      <c r="A5" s="531" t="s">
        <v>727</v>
      </c>
      <c r="B5" s="65" t="str">
        <f>hyperlink("https://www.google.com/maps?q=4100+Virginia+Beach+Boulevard.+Virginia+Beach,+VA+23452&amp;hl=en&amp;sll=42.293564,-79.628906&amp;sspn=42.931123,69.873047&amp;hnear=4100+Virginia+Beach+Blvd,+Virginia+Beach,+Virginia+23452&amp;t=m&amp;z=16","Virginia Beach, VA, USA")</f>
        <v>Virginia Beach, VA, USA</v>
      </c>
      <c r="C5" s="472">
        <v>41467.0</v>
      </c>
      <c r="D5" s="472">
        <v>41468.0</v>
      </c>
      <c r="F5" s="65" t="str">
        <f>hyperlink("http://twitter.com/BronyBeachCon","@BronyBeachCon")</f>
        <v>@BronyBeachCon</v>
      </c>
      <c r="G5" s="65" t="str">
        <f>hyperlink("http://www.facebook.com/BronyBeachCon","BronyBeachCon")</f>
        <v>BronyBeachCon</v>
      </c>
      <c r="H5" s="65" t="str">
        <f>hyperlink("http://bronybeachcon.tumblr.com/","bronybeachcon")</f>
        <v>bronybeachcon</v>
      </c>
    </row>
    <row r="6">
      <c r="A6" s="16" t="s">
        <v>728</v>
      </c>
      <c r="B6" s="12" t="str">
        <f>hyperlink("http://goo.gl/maps/3BAfU","Gothenburg, Sweden")</f>
        <v>Gothenburg, Sweden</v>
      </c>
      <c r="C6" s="485">
        <v>41453.0</v>
      </c>
      <c r="D6" s="485">
        <v>41455.0</v>
      </c>
      <c r="E6" s="13" t="s">
        <v>729</v>
      </c>
      <c r="F6" s="12" t="str">
        <f>hyperlink("http://www.twitter.com/LoveCrystalCon","@LoveCrystalCon")</f>
        <v>@LoveCrystalCon</v>
      </c>
      <c r="G6" s="12" t="str">
        <f>hyperlink("https://www.facebook.com/Crystalcon2013","Crystalcon2013")</f>
        <v>Crystalcon2013</v>
      </c>
      <c r="H6" s="17"/>
    </row>
    <row r="7">
      <c r="A7" s="72" t="s">
        <v>730</v>
      </c>
      <c r="B7" s="65" t="str">
        <f>hyperlink("https://www.google.com/maps?q=Sheraton+Atlanta+Hotel,+Courtland+Street+Northeast,+Atlanta,+GA,+United+States&amp;hl=en&amp;sll=33.759017,-84.383139&amp;sspn=0.01181,0.016243&amp;oq=Sheraton+Atlanta+Hotel&amp;hq=Sheraton+Atlanta+Hotel,+Courtland+Street+Northeast,+Atlanta,+GA,"&amp;"+United+States&amp;t=m&amp;z=15&amp;iwloc=A","Atlanta, GA, USA")</f>
        <v>Atlanta, GA, USA</v>
      </c>
      <c r="C7" s="472">
        <v>41292.0</v>
      </c>
      <c r="D7" s="472">
        <v>41294.0</v>
      </c>
      <c r="E7" s="115" t="s">
        <v>731</v>
      </c>
      <c r="F7" s="65" t="str">
        <f>hyperlink("http://www.twitter.com/WinterMoonATL","@WinterMoonATL")</f>
        <v>@WinterMoonATL</v>
      </c>
      <c r="G7" s="71"/>
      <c r="H7" s="71"/>
    </row>
    <row r="8">
      <c r="A8" s="16" t="s">
        <v>732</v>
      </c>
      <c r="B8" s="16" t="s">
        <v>733</v>
      </c>
      <c r="C8" s="486" t="s">
        <v>734</v>
      </c>
      <c r="D8" s="623"/>
      <c r="E8" s="13" t="s">
        <v>735</v>
      </c>
      <c r="F8" s="12" t="str">
        <f>hyperlink("http://www.twitter.com/NMN_Atlanta","@NMN_Atlanta")</f>
        <v>@NMN_Atlanta</v>
      </c>
      <c r="G8" s="17"/>
      <c r="H8" s="17"/>
    </row>
    <row r="9">
      <c r="A9" s="72" t="s">
        <v>736</v>
      </c>
      <c r="B9" s="65" t="str">
        <f>hyperlink("https://www.google.com/maps?q=Calgary+Marlborough+Community+Association,+Calgary,+AB,+Canada&amp;hl=en&amp;sll=36.135258,-115.159704&amp;sspn=0.022945,0.032487&amp;oq=Marlborough+Community+&amp;hq=Calgary+Marlborough+Community+Association,+Calgary,+AB,+Canada&amp;t=m&amp;z=15","Calgary, Alberta, Canada")</f>
        <v>Calgary, Alberta, Canada</v>
      </c>
      <c r="C9" s="472">
        <v>41348.0</v>
      </c>
      <c r="D9" s="472">
        <v>41349.0</v>
      </c>
      <c r="E9" s="115" t="s">
        <v>737</v>
      </c>
      <c r="F9" s="65" t="str">
        <f>hyperlink("http://www.twitter.com/BronyExhibition","@BronyExhibition")</f>
        <v>@BronyExhibition</v>
      </c>
      <c r="G9" s="65" t="str">
        <f>hyperlink("https://www.facebook.com/CalgaryBronyExhibition","CalgaryBronyExhibition")</f>
        <v>CalgaryBronyExhibition</v>
      </c>
      <c r="H9" s="71"/>
    </row>
    <row r="10">
      <c r="A10" s="16" t="s">
        <v>738</v>
      </c>
      <c r="B10" s="16" t="s">
        <v>739</v>
      </c>
      <c r="C10" s="673" t="s">
        <v>740</v>
      </c>
      <c r="D10" s="623"/>
      <c r="E10" s="111"/>
      <c r="F10" s="12" t="str">
        <f>hyperlink("http://www.twitter.com/CanterlotGrdns","@CanterlotGrdns")</f>
        <v>@CanterlotGrdns</v>
      </c>
      <c r="G10" s="12" t="str">
        <f>hyperlink("http://www.facebook.com/CanterlotGardens","CanterlotGardens")</f>
        <v>CanterlotGardens</v>
      </c>
      <c r="H10" s="17"/>
    </row>
    <row r="11">
      <c r="A11" s="72" t="s">
        <v>741</v>
      </c>
      <c r="B11" s="72" t="s">
        <v>126</v>
      </c>
      <c r="C11" s="545"/>
      <c r="D11" s="545"/>
      <c r="E11" s="71"/>
      <c r="G11" s="65" t="str">
        <f>hyperlink("https://www.facebook.com/SnowhoofMlpConvention","SnowhoofMlpConvention")</f>
        <v>SnowhoofMlpConvention</v>
      </c>
      <c r="H11" s="71"/>
    </row>
    <row r="12">
      <c r="A12" s="674" t="str">
        <f>hyperlink("http://eu-m.ch/","EUM 2014")</f>
        <v>EUM 2014</v>
      </c>
      <c r="B12" s="675" t="s">
        <v>102</v>
      </c>
      <c r="C12" s="674" t="str">
        <f>hyperlink("https://plus.google.com/106422694871535888208","Basel, Switzerland")</f>
        <v>Basel, Switzerland</v>
      </c>
      <c r="D12" s="676">
        <v>41887.0</v>
      </c>
      <c r="E12" s="676">
        <v>41889.0</v>
      </c>
      <c r="F12" s="621"/>
      <c r="G12" s="621"/>
      <c r="H12" s="621"/>
      <c r="I12" s="677"/>
      <c r="J12" s="674" t="str">
        <f>hyperlink("http://www.twitter.com/EUM2014","@EUM2014")</f>
        <v>@EUM2014</v>
      </c>
      <c r="K12" s="621"/>
      <c r="L12" s="621"/>
    </row>
    <row r="13">
      <c r="A13" s="506" t="str">
        <f>hyperlink("hfeq.org","Horseshoe Falls Equestria")</f>
        <v>Horseshoe Falls Equestria</v>
      </c>
      <c r="B13" s="678" t="s">
        <v>742</v>
      </c>
      <c r="C13" s="506" t="str">
        <f>hyperlink("https://plus.google.com/112662710285134933626/","Niagara Falls, Ontario, Canada")</f>
        <v>Niagara Falls, Ontario, Canada</v>
      </c>
      <c r="D13" s="679">
        <v>42118.0</v>
      </c>
      <c r="E13" s="679">
        <v>42120.0</v>
      </c>
      <c r="F13" s="508"/>
      <c r="G13" s="508"/>
      <c r="H13" s="508"/>
      <c r="I13" s="509"/>
      <c r="J13" s="506" t="str">
        <f>hyperlink("https://twitter.com/HFEQConvention","@HFEQConvention")</f>
        <v>@HFEQConvention</v>
      </c>
      <c r="K13" s="506" t="str">
        <f>hyperlink("https://www.facebook.com/pages/Horseshoe-Falls-Equestria/218665068322076","[Page]")</f>
        <v>[Page]</v>
      </c>
      <c r="L13" s="506" t="str">
        <f>hyperlink("http://horseshoefallsequestria.tumblr.com/","horseshoefallsequestria")</f>
        <v>horseshoefallsequestria</v>
      </c>
    </row>
    <row r="14">
      <c r="A14" s="542"/>
      <c r="B14" s="542"/>
      <c r="C14" s="680"/>
      <c r="D14" s="680"/>
      <c r="E14" s="542"/>
      <c r="F14" s="542"/>
      <c r="G14" s="542"/>
      <c r="H14" s="542"/>
      <c r="I14" s="681"/>
      <c r="J14" s="681"/>
      <c r="K14" s="681"/>
      <c r="L14" s="681"/>
    </row>
    <row r="15">
      <c r="A15" s="71"/>
      <c r="B15" s="71"/>
      <c r="C15" s="545"/>
      <c r="D15" s="545"/>
      <c r="E15" s="71"/>
      <c r="F15" s="71"/>
      <c r="G15" s="71"/>
      <c r="H15" s="71"/>
    </row>
  </sheetData>
  <hyperlinks>
    <hyperlink r:id="rId2" ref="E2"/>
    <hyperlink r:id="rId3" ref="E4"/>
    <hyperlink r:id="rId4" ref="E6"/>
    <hyperlink r:id="rId5" ref="E7"/>
    <hyperlink r:id="rId6" ref="E8"/>
    <hyperlink r:id="rId7" ref="E9"/>
    <hyperlink r:id="rId8" ref="B12"/>
    <hyperlink r:id="rId9" ref="B13"/>
  </hyperlinks>
  <drawing r:id="rId10"/>
  <legacyDrawing r:id="rId1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2.75"/>
  <cols>
    <col customWidth="1" min="1" max="1" width="65.43"/>
    <col customWidth="1" min="2" max="20" width="17.29"/>
  </cols>
  <sheetData>
    <row r="1">
      <c r="A1" s="615" t="s">
        <v>743</v>
      </c>
      <c r="B1" s="682"/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  <c r="O1" s="682"/>
      <c r="P1" s="682"/>
      <c r="Q1" s="682"/>
      <c r="R1" s="682"/>
      <c r="S1" s="682"/>
      <c r="T1" s="682"/>
    </row>
    <row r="2">
      <c r="A2" s="115" t="s">
        <v>744</v>
      </c>
    </row>
    <row r="3">
      <c r="A3" s="115" t="s">
        <v>745</v>
      </c>
    </row>
    <row r="4">
      <c r="A4" s="115" t="s">
        <v>746</v>
      </c>
    </row>
    <row r="5">
      <c r="A5" s="115" t="s">
        <v>747</v>
      </c>
    </row>
  </sheetData>
  <hyperlinks>
    <hyperlink r:id="rId2" ref="A2"/>
    <hyperlink r:id="rId3" ref="A3"/>
    <hyperlink r:id="rId4" ref="A4"/>
    <hyperlink r:id="rId5" ref="A5"/>
  </hyperlinks>
  <drawing r:id="rId6"/>
  <legacyDrawing r:id="rId7"/>
</worksheet>
</file>